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esktop\PEJOTA\CRECHES BARREIRAS\MEDIÇÕES PREFEITURA\RIBEIRÃO\BM 12\"/>
    </mc:Choice>
  </mc:AlternateContent>
  <bookViews>
    <workbookView xWindow="0" yWindow="0" windowWidth="20490" windowHeight="7650" firstSheet="3" activeTab="3"/>
  </bookViews>
  <sheets>
    <sheet name="Table 5" sheetId="5" state="hidden" r:id="rId1"/>
    <sheet name="Ribeirão" sheetId="6" state="hidden" r:id="rId2"/>
    <sheet name="Ribeirão med 01" sheetId="7" state="hidden" r:id="rId3"/>
    <sheet name="BM 12 RIBEIRÃO" sheetId="8" r:id="rId4"/>
  </sheets>
  <definedNames>
    <definedName name="_xlnm._FilterDatabase" localSheetId="3" hidden="1">'BM 12 RIBEIRÃO'!$A$10:$P$819</definedName>
    <definedName name="_xlnm._FilterDatabase" localSheetId="1" hidden="1">Ribeirão!$A$12:$K$803</definedName>
    <definedName name="_xlnm._FilterDatabase" localSheetId="2" hidden="1">'Ribeirão med 01'!$A$10:$L$819</definedName>
    <definedName name="_xlnm.Print_Area" localSheetId="3">'BM 12 RIBEIRÃO'!$A$1:$P$829</definedName>
    <definedName name="_xlnm.Print_Area" localSheetId="1">Ribeirão!$A$1:$N$813</definedName>
    <definedName name="_xlnm.Print_Area" localSheetId="2">'Ribeirão med 01'!$A$1:$P$829</definedName>
    <definedName name="_xlnm.Print_Titles" localSheetId="3">'BM 12 RIBEIRÃO'!$1:$10</definedName>
    <definedName name="_xlnm.Print_Titles" localSheetId="1">Ribeirão!$1:$12</definedName>
    <definedName name="_xlnm.Print_Titles" localSheetId="2">'Ribeirão med 01'!$1:$10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6" i="8" l="1"/>
  <c r="J385" i="8"/>
  <c r="J299" i="8"/>
  <c r="J157" i="8"/>
  <c r="J790" i="8" l="1"/>
  <c r="J794" i="8"/>
  <c r="J779" i="8"/>
  <c r="J780" i="8"/>
  <c r="J781" i="8"/>
  <c r="J782" i="8"/>
  <c r="J783" i="8"/>
  <c r="J784" i="8"/>
  <c r="J785" i="8"/>
  <c r="J786" i="8"/>
  <c r="J787" i="8"/>
  <c r="J788" i="8"/>
  <c r="J789" i="8"/>
  <c r="J778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23" i="8"/>
  <c r="J712" i="8"/>
  <c r="J663" i="8"/>
  <c r="J664" i="8"/>
  <c r="J665" i="8"/>
  <c r="J662" i="8"/>
  <c r="J655" i="8"/>
  <c r="J654" i="8"/>
  <c r="J649" i="8"/>
  <c r="J650" i="8"/>
  <c r="J651" i="8"/>
  <c r="J648" i="8"/>
  <c r="J638" i="8"/>
  <c r="J639" i="8"/>
  <c r="J640" i="8"/>
  <c r="J641" i="8"/>
  <c r="J642" i="8"/>
  <c r="J643" i="8"/>
  <c r="J644" i="8"/>
  <c r="J645" i="8"/>
  <c r="J637" i="8"/>
  <c r="J545" i="8"/>
  <c r="J546" i="8"/>
  <c r="J547" i="8"/>
  <c r="J548" i="8"/>
  <c r="J549" i="8"/>
  <c r="J550" i="8"/>
  <c r="J551" i="8"/>
  <c r="J552" i="8"/>
  <c r="J553" i="8"/>
  <c r="J554" i="8"/>
  <c r="J555" i="8"/>
  <c r="J544" i="8"/>
  <c r="J523" i="8"/>
  <c r="J451" i="8"/>
  <c r="J313" i="8"/>
  <c r="J314" i="8"/>
  <c r="J312" i="8"/>
  <c r="J307" i="8"/>
  <c r="J308" i="8"/>
  <c r="J309" i="8"/>
  <c r="J306" i="8"/>
  <c r="J296" i="8"/>
  <c r="J295" i="8"/>
  <c r="J286" i="8"/>
  <c r="J289" i="8"/>
  <c r="J290" i="8"/>
  <c r="J291" i="8"/>
  <c r="J288" i="8"/>
  <c r="J277" i="8"/>
  <c r="J272" i="8"/>
  <c r="J260" i="8"/>
  <c r="J263" i="8"/>
  <c r="J262" i="8"/>
  <c r="J256" i="8"/>
  <c r="J186" i="8"/>
  <c r="J181" i="8"/>
  <c r="J182" i="8"/>
  <c r="J180" i="8"/>
  <c r="J163" i="8"/>
  <c r="N36" i="8" l="1"/>
  <c r="N41" i="8"/>
  <c r="N46" i="8"/>
  <c r="K815" i="8" l="1"/>
  <c r="K814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5" i="8"/>
  <c r="K762" i="8"/>
  <c r="K761" i="8"/>
  <c r="K759" i="8"/>
  <c r="K757" i="8"/>
  <c r="K756" i="8"/>
  <c r="K754" i="8"/>
  <c r="K752" i="8"/>
  <c r="K750" i="8"/>
  <c r="K749" i="8"/>
  <c r="K747" i="8"/>
  <c r="K746" i="8"/>
  <c r="K744" i="8"/>
  <c r="K742" i="8"/>
  <c r="K741" i="8"/>
  <c r="K738" i="8"/>
  <c r="K737" i="8"/>
  <c r="K736" i="8"/>
  <c r="K735" i="8"/>
  <c r="K734" i="8"/>
  <c r="K733" i="8"/>
  <c r="K732" i="8"/>
  <c r="K730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4" i="8"/>
  <c r="K713" i="8"/>
  <c r="K712" i="8"/>
  <c r="K709" i="8"/>
  <c r="K708" i="8"/>
  <c r="K707" i="8"/>
  <c r="K706" i="8"/>
  <c r="K705" i="8"/>
  <c r="K704" i="8"/>
  <c r="K703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4" i="8"/>
  <c r="K683" i="8"/>
  <c r="K682" i="8"/>
  <c r="K681" i="8"/>
  <c r="K680" i="8"/>
  <c r="K679" i="8"/>
  <c r="K678" i="8"/>
  <c r="K676" i="8"/>
  <c r="K674" i="8"/>
  <c r="K672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6" i="8"/>
  <c r="K645" i="8"/>
  <c r="K644" i="8"/>
  <c r="K643" i="8"/>
  <c r="K642" i="8"/>
  <c r="K641" i="8"/>
  <c r="K640" i="8"/>
  <c r="K639" i="8"/>
  <c r="K638" i="8"/>
  <c r="K637" i="8"/>
  <c r="K635" i="8"/>
  <c r="K634" i="8"/>
  <c r="K633" i="8"/>
  <c r="K632" i="8"/>
  <c r="K630" i="8"/>
  <c r="K629" i="8"/>
  <c r="K628" i="8"/>
  <c r="K626" i="8"/>
  <c r="K624" i="8"/>
  <c r="K623" i="8"/>
  <c r="K622" i="8"/>
  <c r="K621" i="8"/>
  <c r="K619" i="8"/>
  <c r="K618" i="8"/>
  <c r="K617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2" i="8"/>
  <c r="K501" i="8"/>
  <c r="K500" i="8"/>
  <c r="K499" i="8"/>
  <c r="K498" i="8"/>
  <c r="K497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2" i="8"/>
  <c r="K390" i="8"/>
  <c r="K389" i="8"/>
  <c r="K388" i="8"/>
  <c r="K387" i="8"/>
  <c r="K386" i="8"/>
  <c r="K385" i="8"/>
  <c r="K384" i="8"/>
  <c r="K383" i="8"/>
  <c r="K382" i="8"/>
  <c r="K381" i="8"/>
  <c r="K380" i="8"/>
  <c r="K378" i="8"/>
  <c r="K377" i="8"/>
  <c r="K376" i="8"/>
  <c r="K375" i="8"/>
  <c r="K374" i="8"/>
  <c r="K373" i="8"/>
  <c r="K372" i="8"/>
  <c r="K371" i="8"/>
  <c r="K367" i="8"/>
  <c r="K366" i="8"/>
  <c r="K364" i="8"/>
  <c r="K363" i="8"/>
  <c r="K362" i="8"/>
  <c r="K361" i="8"/>
  <c r="K360" i="8"/>
  <c r="K359" i="8"/>
  <c r="K358" i="8"/>
  <c r="K356" i="8"/>
  <c r="K355" i="8"/>
  <c r="K353" i="8"/>
  <c r="K352" i="8"/>
  <c r="K350" i="8"/>
  <c r="K349" i="8"/>
  <c r="K348" i="8"/>
  <c r="K347" i="8"/>
  <c r="K346" i="8"/>
  <c r="K345" i="8"/>
  <c r="K340" i="8"/>
  <c r="K338" i="8"/>
  <c r="K337" i="8"/>
  <c r="K335" i="8"/>
  <c r="K334" i="8"/>
  <c r="K333" i="8"/>
  <c r="K331" i="8"/>
  <c r="K330" i="8"/>
  <c r="K328" i="8"/>
  <c r="K327" i="8"/>
  <c r="K326" i="8"/>
  <c r="K325" i="8"/>
  <c r="K323" i="8"/>
  <c r="K321" i="8"/>
  <c r="K320" i="8"/>
  <c r="K319" i="8"/>
  <c r="K318" i="8"/>
  <c r="K315" i="8"/>
  <c r="K314" i="8"/>
  <c r="K313" i="8"/>
  <c r="K312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80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199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5" i="8"/>
  <c r="K164" i="8"/>
  <c r="K163" i="8"/>
  <c r="K162" i="8"/>
  <c r="K160" i="8"/>
  <c r="K159" i="8"/>
  <c r="K158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1" i="8"/>
  <c r="K140" i="8"/>
  <c r="K139" i="8"/>
  <c r="K133" i="8"/>
  <c r="K129" i="8"/>
  <c r="K128" i="8"/>
  <c r="K127" i="8"/>
  <c r="K126" i="8"/>
  <c r="K118" i="8"/>
  <c r="K117" i="8"/>
  <c r="K116" i="8"/>
  <c r="K115" i="8"/>
  <c r="K112" i="8"/>
  <c r="K111" i="8"/>
  <c r="K110" i="8"/>
  <c r="K109" i="8"/>
  <c r="K106" i="8"/>
  <c r="K105" i="8"/>
  <c r="K104" i="8"/>
  <c r="K103" i="8"/>
  <c r="K101" i="8"/>
  <c r="K100" i="8"/>
  <c r="K99" i="8"/>
  <c r="K98" i="8"/>
  <c r="K97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4" i="8"/>
  <c r="K73" i="8"/>
  <c r="K71" i="8"/>
  <c r="K70" i="8"/>
  <c r="K69" i="8"/>
  <c r="K68" i="8"/>
  <c r="K67" i="8"/>
  <c r="K66" i="8"/>
  <c r="K65" i="8"/>
  <c r="K64" i="8"/>
  <c r="K58" i="8"/>
  <c r="K57" i="8"/>
  <c r="K56" i="8"/>
  <c r="K55" i="8"/>
  <c r="K54" i="8"/>
  <c r="K50" i="8"/>
  <c r="K49" i="8"/>
  <c r="K48" i="8"/>
  <c r="K47" i="8"/>
  <c r="K46" i="8"/>
  <c r="K45" i="8"/>
  <c r="K44" i="8"/>
  <c r="K43" i="8"/>
  <c r="K42" i="8"/>
  <c r="K40" i="8"/>
  <c r="K39" i="8"/>
  <c r="K38" i="8"/>
  <c r="K37" i="8"/>
  <c r="K36" i="8"/>
  <c r="K35" i="8"/>
  <c r="K34" i="8"/>
  <c r="K33" i="8"/>
  <c r="K32" i="8"/>
  <c r="K21" i="8"/>
  <c r="K22" i="8"/>
  <c r="K23" i="8"/>
  <c r="K20" i="8"/>
  <c r="K14" i="8"/>
  <c r="K15" i="8"/>
  <c r="K16" i="8"/>
  <c r="K13" i="8"/>
  <c r="K507" i="8"/>
  <c r="K506" i="8"/>
  <c r="K505" i="8"/>
  <c r="K504" i="8"/>
  <c r="K503" i="8"/>
  <c r="K394" i="8"/>
  <c r="K393" i="8"/>
  <c r="K391" i="8"/>
  <c r="K279" i="8"/>
  <c r="K278" i="8"/>
  <c r="K252" i="8"/>
  <c r="K251" i="8"/>
  <c r="K243" i="8"/>
  <c r="K242" i="8"/>
  <c r="K241" i="8"/>
  <c r="K240" i="8"/>
  <c r="K239" i="8"/>
  <c r="K236" i="8"/>
  <c r="K235" i="8"/>
  <c r="K234" i="8"/>
  <c r="K229" i="8"/>
  <c r="K228" i="8"/>
  <c r="K227" i="8"/>
  <c r="K224" i="8"/>
  <c r="K223" i="8"/>
  <c r="K222" i="8"/>
  <c r="K221" i="8"/>
  <c r="K220" i="8"/>
  <c r="K219" i="8"/>
  <c r="K218" i="8"/>
  <c r="K217" i="8"/>
  <c r="K216" i="8"/>
  <c r="K215" i="8"/>
  <c r="K213" i="8"/>
  <c r="K212" i="8"/>
  <c r="K211" i="8"/>
  <c r="K210" i="8"/>
  <c r="K209" i="8"/>
  <c r="K208" i="8"/>
  <c r="K207" i="8"/>
  <c r="K200" i="8"/>
  <c r="K198" i="8"/>
  <c r="K195" i="8"/>
  <c r="K194" i="8"/>
  <c r="K193" i="8"/>
  <c r="K192" i="8"/>
  <c r="K142" i="8"/>
  <c r="K138" i="8"/>
  <c r="K137" i="8"/>
  <c r="K132" i="8"/>
  <c r="K131" i="8"/>
  <c r="K130" i="8"/>
  <c r="K124" i="8"/>
  <c r="K123" i="8"/>
  <c r="K122" i="8"/>
  <c r="K108" i="8"/>
  <c r="K107" i="8"/>
  <c r="K60" i="8" l="1"/>
  <c r="K281" i="8" l="1"/>
  <c r="K282" i="8"/>
  <c r="K283" i="8"/>
  <c r="K284" i="8"/>
  <c r="K285" i="8"/>
  <c r="K286" i="8"/>
  <c r="K287" i="8"/>
  <c r="K288" i="8"/>
  <c r="K289" i="8"/>
  <c r="K290" i="8"/>
  <c r="K291" i="8"/>
  <c r="K292" i="8"/>
  <c r="K495" i="8"/>
  <c r="K496" i="8"/>
  <c r="K196" i="8" l="1"/>
  <c r="K201" i="8"/>
  <c r="K202" i="8"/>
  <c r="K203" i="8"/>
  <c r="K204" i="8"/>
  <c r="K205" i="8"/>
  <c r="K225" i="8"/>
  <c r="K230" i="8"/>
  <c r="K231" i="8"/>
  <c r="K232" i="8"/>
  <c r="K237" i="8"/>
  <c r="K238" i="8"/>
  <c r="K244" i="8"/>
  <c r="K246" i="8"/>
  <c r="K247" i="8"/>
  <c r="K248" i="8"/>
  <c r="K249" i="8"/>
  <c r="K253" i="8"/>
  <c r="K26" i="8" l="1"/>
  <c r="K28" i="8"/>
  <c r="K25" i="8"/>
  <c r="K27" i="8"/>
  <c r="N769" i="8"/>
  <c r="O769" i="8" s="1"/>
  <c r="N773" i="8"/>
  <c r="O773" i="8" s="1"/>
  <c r="F815" i="8"/>
  <c r="F814" i="8"/>
  <c r="L814" i="8" s="1"/>
  <c r="F811" i="8"/>
  <c r="L811" i="8" s="1"/>
  <c r="F810" i="8"/>
  <c r="F809" i="8"/>
  <c r="L809" i="8" s="1"/>
  <c r="F808" i="8"/>
  <c r="F807" i="8"/>
  <c r="L807" i="8" s="1"/>
  <c r="F806" i="8"/>
  <c r="F805" i="8"/>
  <c r="L805" i="8" s="1"/>
  <c r="F804" i="8"/>
  <c r="F803" i="8"/>
  <c r="L803" i="8" s="1"/>
  <c r="F802" i="8"/>
  <c r="F801" i="8"/>
  <c r="L801" i="8" s="1"/>
  <c r="F800" i="8"/>
  <c r="F799" i="8"/>
  <c r="L799" i="8" s="1"/>
  <c r="F794" i="8"/>
  <c r="L794" i="8" s="1"/>
  <c r="L795" i="8" s="1"/>
  <c r="F790" i="8"/>
  <c r="F789" i="8"/>
  <c r="G789" i="8" s="1"/>
  <c r="F788" i="8"/>
  <c r="G788" i="8" s="1"/>
  <c r="F787" i="8"/>
  <c r="G787" i="8" s="1"/>
  <c r="F786" i="8"/>
  <c r="G786" i="8" s="1"/>
  <c r="M786" i="8" s="1"/>
  <c r="F785" i="8"/>
  <c r="G785" i="8" s="1"/>
  <c r="M785" i="8" s="1"/>
  <c r="F784" i="8"/>
  <c r="F783" i="8"/>
  <c r="G783" i="8" s="1"/>
  <c r="M783" i="8" s="1"/>
  <c r="F782" i="8"/>
  <c r="G782" i="8" s="1"/>
  <c r="M782" i="8" s="1"/>
  <c r="F781" i="8"/>
  <c r="G781" i="8" s="1"/>
  <c r="M781" i="8" s="1"/>
  <c r="F780" i="8"/>
  <c r="F779" i="8"/>
  <c r="G779" i="8" s="1"/>
  <c r="M779" i="8" s="1"/>
  <c r="F778" i="8"/>
  <c r="G778" i="8" s="1"/>
  <c r="M778" i="8" s="1"/>
  <c r="F774" i="8"/>
  <c r="L774" i="8" s="1"/>
  <c r="M773" i="8"/>
  <c r="F772" i="8"/>
  <c r="G772" i="8" s="1"/>
  <c r="M772" i="8" s="1"/>
  <c r="N771" i="8"/>
  <c r="O771" i="8" s="1"/>
  <c r="M771" i="8"/>
  <c r="F770" i="8"/>
  <c r="L770" i="8" s="1"/>
  <c r="M769" i="8"/>
  <c r="F768" i="8"/>
  <c r="L768" i="8" s="1"/>
  <c r="F767" i="8"/>
  <c r="L767" i="8" s="1"/>
  <c r="F765" i="8"/>
  <c r="G765" i="8" s="1"/>
  <c r="M765" i="8" s="1"/>
  <c r="F762" i="8"/>
  <c r="F761" i="8"/>
  <c r="G761" i="8" s="1"/>
  <c r="M761" i="8" s="1"/>
  <c r="F759" i="8"/>
  <c r="L759" i="8" s="1"/>
  <c r="F757" i="8"/>
  <c r="F756" i="8"/>
  <c r="G756" i="8" s="1"/>
  <c r="M756" i="8" s="1"/>
  <c r="F754" i="8"/>
  <c r="L754" i="8" s="1"/>
  <c r="G752" i="8"/>
  <c r="F752" i="8"/>
  <c r="L752" i="8" s="1"/>
  <c r="F750" i="8"/>
  <c r="G750" i="8" s="1"/>
  <c r="M750" i="8" s="1"/>
  <c r="F749" i="8"/>
  <c r="G749" i="8" s="1"/>
  <c r="M749" i="8" s="1"/>
  <c r="F747" i="8"/>
  <c r="L747" i="8" s="1"/>
  <c r="F746" i="8"/>
  <c r="L746" i="8" s="1"/>
  <c r="F744" i="8"/>
  <c r="G744" i="8" s="1"/>
  <c r="F742" i="8"/>
  <c r="L742" i="8" s="1"/>
  <c r="F741" i="8"/>
  <c r="L741" i="8" s="1"/>
  <c r="F735" i="8"/>
  <c r="L735" i="8" s="1"/>
  <c r="F734" i="8"/>
  <c r="L734" i="8" s="1"/>
  <c r="F733" i="8"/>
  <c r="L733" i="8" s="1"/>
  <c r="F732" i="8"/>
  <c r="L732" i="8" s="1"/>
  <c r="G731" i="8"/>
  <c r="H731" i="8" s="1"/>
  <c r="F730" i="8"/>
  <c r="G730" i="8" s="1"/>
  <c r="F728" i="8"/>
  <c r="G728" i="8" s="1"/>
  <c r="F727" i="8"/>
  <c r="G727" i="8" s="1"/>
  <c r="F726" i="8"/>
  <c r="F725" i="8"/>
  <c r="G725" i="8" s="1"/>
  <c r="F724" i="8"/>
  <c r="G724" i="8" s="1"/>
  <c r="F723" i="8"/>
  <c r="G723" i="8" s="1"/>
  <c r="F719" i="8"/>
  <c r="L719" i="8" s="1"/>
  <c r="F718" i="8"/>
  <c r="L718" i="8" s="1"/>
  <c r="F717" i="8"/>
  <c r="L717" i="8" s="1"/>
  <c r="F712" i="8"/>
  <c r="G712" i="8" s="1"/>
  <c r="F709" i="8"/>
  <c r="L709" i="8" s="1"/>
  <c r="F708" i="8"/>
  <c r="L708" i="8" s="1"/>
  <c r="F707" i="8"/>
  <c r="L707" i="8" s="1"/>
  <c r="F706" i="8"/>
  <c r="L706" i="8" s="1"/>
  <c r="F705" i="8"/>
  <c r="L705" i="8" s="1"/>
  <c r="F704" i="8"/>
  <c r="L704" i="8" s="1"/>
  <c r="F703" i="8"/>
  <c r="L703" i="8" s="1"/>
  <c r="F700" i="8"/>
  <c r="G700" i="8" s="1"/>
  <c r="M700" i="8" s="1"/>
  <c r="F699" i="8"/>
  <c r="G699" i="8" s="1"/>
  <c r="M699" i="8" s="1"/>
  <c r="F698" i="8"/>
  <c r="G698" i="8" s="1"/>
  <c r="M698" i="8" s="1"/>
  <c r="F697" i="8"/>
  <c r="F696" i="8"/>
  <c r="G696" i="8" s="1"/>
  <c r="M696" i="8" s="1"/>
  <c r="F695" i="8"/>
  <c r="G695" i="8" s="1"/>
  <c r="M695" i="8" s="1"/>
  <c r="F694" i="8"/>
  <c r="G694" i="8" s="1"/>
  <c r="M694" i="8" s="1"/>
  <c r="F693" i="8"/>
  <c r="F692" i="8"/>
  <c r="G692" i="8" s="1"/>
  <c r="M692" i="8" s="1"/>
  <c r="F691" i="8"/>
  <c r="G691" i="8" s="1"/>
  <c r="M691" i="8" s="1"/>
  <c r="F690" i="8"/>
  <c r="G690" i="8" s="1"/>
  <c r="M690" i="8" s="1"/>
  <c r="F689" i="8"/>
  <c r="G689" i="8" s="1"/>
  <c r="M689" i="8" s="1"/>
  <c r="F688" i="8"/>
  <c r="G688" i="8" s="1"/>
  <c r="M688" i="8" s="1"/>
  <c r="F687" i="8"/>
  <c r="G687" i="8" s="1"/>
  <c r="M687" i="8" s="1"/>
  <c r="F686" i="8"/>
  <c r="G686" i="8" s="1"/>
  <c r="M686" i="8" s="1"/>
  <c r="F683" i="8"/>
  <c r="L683" i="8" s="1"/>
  <c r="F682" i="8"/>
  <c r="L682" i="8" s="1"/>
  <c r="F681" i="8"/>
  <c r="L681" i="8" s="1"/>
  <c r="F680" i="8"/>
  <c r="L680" i="8" s="1"/>
  <c r="F679" i="8"/>
  <c r="L679" i="8" s="1"/>
  <c r="F678" i="8"/>
  <c r="L678" i="8" s="1"/>
  <c r="F676" i="8"/>
  <c r="L676" i="8" s="1"/>
  <c r="F674" i="8"/>
  <c r="G674" i="8" s="1"/>
  <c r="F672" i="8"/>
  <c r="L672" i="8" s="1"/>
  <c r="F670" i="8"/>
  <c r="L670" i="8" s="1"/>
  <c r="F669" i="8"/>
  <c r="L669" i="8" s="1"/>
  <c r="F665" i="8"/>
  <c r="L665" i="8" s="1"/>
  <c r="F664" i="8"/>
  <c r="L664" i="8" s="1"/>
  <c r="F663" i="8"/>
  <c r="L663" i="8" s="1"/>
  <c r="F662" i="8"/>
  <c r="L662" i="8" s="1"/>
  <c r="F661" i="8"/>
  <c r="L661" i="8" s="1"/>
  <c r="F660" i="8"/>
  <c r="L660" i="8" s="1"/>
  <c r="F659" i="8"/>
  <c r="L659" i="8" s="1"/>
  <c r="F658" i="8"/>
  <c r="L658" i="8" s="1"/>
  <c r="F655" i="8"/>
  <c r="L655" i="8" s="1"/>
  <c r="F654" i="8"/>
  <c r="L654" i="8" s="1"/>
  <c r="F651" i="8"/>
  <c r="L651" i="8" s="1"/>
  <c r="F650" i="8"/>
  <c r="L650" i="8" s="1"/>
  <c r="F649" i="8"/>
  <c r="L649" i="8" s="1"/>
  <c r="F648" i="8"/>
  <c r="L648" i="8" s="1"/>
  <c r="F645" i="8"/>
  <c r="G645" i="8" s="1"/>
  <c r="M645" i="8" s="1"/>
  <c r="F644" i="8"/>
  <c r="G644" i="8" s="1"/>
  <c r="M644" i="8" s="1"/>
  <c r="F643" i="8"/>
  <c r="G643" i="8" s="1"/>
  <c r="M643" i="8" s="1"/>
  <c r="F642" i="8"/>
  <c r="G642" i="8" s="1"/>
  <c r="M642" i="8" s="1"/>
  <c r="F641" i="8"/>
  <c r="G641" i="8" s="1"/>
  <c r="M641" i="8" s="1"/>
  <c r="F640" i="8"/>
  <c r="G640" i="8" s="1"/>
  <c r="M640" i="8" s="1"/>
  <c r="F639" i="8"/>
  <c r="G639" i="8" s="1"/>
  <c r="M639" i="8" s="1"/>
  <c r="F638" i="8"/>
  <c r="G638" i="8" s="1"/>
  <c r="M638" i="8" s="1"/>
  <c r="F637" i="8"/>
  <c r="G637" i="8" s="1"/>
  <c r="M637" i="8" s="1"/>
  <c r="F632" i="8"/>
  <c r="G632" i="8" s="1"/>
  <c r="F630" i="8"/>
  <c r="G630" i="8" s="1"/>
  <c r="F629" i="8"/>
  <c r="G629" i="8" s="1"/>
  <c r="F628" i="8"/>
  <c r="G628" i="8" s="1"/>
  <c r="F626" i="8"/>
  <c r="G626" i="8" s="1"/>
  <c r="F624" i="8"/>
  <c r="G624" i="8" s="1"/>
  <c r="F623" i="8"/>
  <c r="F622" i="8"/>
  <c r="G622" i="8" s="1"/>
  <c r="F621" i="8"/>
  <c r="G621" i="8" s="1"/>
  <c r="F619" i="8"/>
  <c r="F618" i="8"/>
  <c r="G618" i="8" s="1"/>
  <c r="F617" i="8"/>
  <c r="G617" i="8" s="1"/>
  <c r="F613" i="8"/>
  <c r="G613" i="8" s="1"/>
  <c r="F612" i="8"/>
  <c r="F611" i="8"/>
  <c r="G611" i="8" s="1"/>
  <c r="M611" i="8" s="1"/>
  <c r="F610" i="8"/>
  <c r="G610" i="8" s="1"/>
  <c r="M610" i="8" s="1"/>
  <c r="F609" i="8"/>
  <c r="G609" i="8" s="1"/>
  <c r="M609" i="8" s="1"/>
  <c r="F608" i="8"/>
  <c r="F605" i="8"/>
  <c r="L605" i="8" s="1"/>
  <c r="F604" i="8"/>
  <c r="L604" i="8" s="1"/>
  <c r="F603" i="8"/>
  <c r="L603" i="8" s="1"/>
  <c r="F602" i="8"/>
  <c r="L602" i="8" s="1"/>
  <c r="F601" i="8"/>
  <c r="L601" i="8" s="1"/>
  <c r="F600" i="8"/>
  <c r="L600" i="8" s="1"/>
  <c r="F597" i="8"/>
  <c r="F596" i="8"/>
  <c r="G596" i="8" s="1"/>
  <c r="M596" i="8" s="1"/>
  <c r="F595" i="8"/>
  <c r="G595" i="8" s="1"/>
  <c r="M595" i="8" s="1"/>
  <c r="F594" i="8"/>
  <c r="G594" i="8" s="1"/>
  <c r="M594" i="8" s="1"/>
  <c r="F593" i="8"/>
  <c r="F592" i="8"/>
  <c r="G592" i="8" s="1"/>
  <c r="F591" i="8"/>
  <c r="L591" i="8" s="1"/>
  <c r="F590" i="8"/>
  <c r="G590" i="8" s="1"/>
  <c r="F589" i="8"/>
  <c r="L589" i="8" s="1"/>
  <c r="F588" i="8"/>
  <c r="G588" i="8" s="1"/>
  <c r="M588" i="8" s="1"/>
  <c r="F587" i="8"/>
  <c r="L587" i="8" s="1"/>
  <c r="F586" i="8"/>
  <c r="G586" i="8" s="1"/>
  <c r="F585" i="8"/>
  <c r="G585" i="8" s="1"/>
  <c r="F582" i="8"/>
  <c r="L582" i="8" s="1"/>
  <c r="F581" i="8"/>
  <c r="F580" i="8"/>
  <c r="L580" i="8" s="1"/>
  <c r="F579" i="8"/>
  <c r="L579" i="8" s="1"/>
  <c r="F578" i="8"/>
  <c r="L578" i="8" s="1"/>
  <c r="F577" i="8"/>
  <c r="F576" i="8"/>
  <c r="L576" i="8" s="1"/>
  <c r="F573" i="8"/>
  <c r="G573" i="8" s="1"/>
  <c r="M573" i="8" s="1"/>
  <c r="F572" i="8"/>
  <c r="G572" i="8" s="1"/>
  <c r="M572" i="8" s="1"/>
  <c r="F571" i="8"/>
  <c r="G571" i="8" s="1"/>
  <c r="M571" i="8" s="1"/>
  <c r="F570" i="8"/>
  <c r="G570" i="8" s="1"/>
  <c r="M570" i="8" s="1"/>
  <c r="F569" i="8"/>
  <c r="G569" i="8" s="1"/>
  <c r="M569" i="8" s="1"/>
  <c r="F568" i="8"/>
  <c r="G568" i="8" s="1"/>
  <c r="M568" i="8" s="1"/>
  <c r="F567" i="8"/>
  <c r="G567" i="8" s="1"/>
  <c r="M567" i="8" s="1"/>
  <c r="F566" i="8"/>
  <c r="G566" i="8" s="1"/>
  <c r="M566" i="8" s="1"/>
  <c r="F565" i="8"/>
  <c r="G565" i="8" s="1"/>
  <c r="M565" i="8" s="1"/>
  <c r="F564" i="8"/>
  <c r="G564" i="8" s="1"/>
  <c r="M564" i="8" s="1"/>
  <c r="F563" i="8"/>
  <c r="G563" i="8" s="1"/>
  <c r="M563" i="8" s="1"/>
  <c r="F562" i="8"/>
  <c r="G562" i="8" s="1"/>
  <c r="M562" i="8" s="1"/>
  <c r="F561" i="8"/>
  <c r="G561" i="8" s="1"/>
  <c r="M561" i="8" s="1"/>
  <c r="F560" i="8"/>
  <c r="G560" i="8" s="1"/>
  <c r="M560" i="8" s="1"/>
  <c r="F559" i="8"/>
  <c r="G559" i="8" s="1"/>
  <c r="M559" i="8" s="1"/>
  <c r="F558" i="8"/>
  <c r="G558" i="8" s="1"/>
  <c r="M558" i="8" s="1"/>
  <c r="F555" i="8"/>
  <c r="L555" i="8" s="1"/>
  <c r="F554" i="8"/>
  <c r="L554" i="8" s="1"/>
  <c r="F553" i="8"/>
  <c r="F552" i="8"/>
  <c r="L552" i="8" s="1"/>
  <c r="F551" i="8"/>
  <c r="L551" i="8" s="1"/>
  <c r="F550" i="8"/>
  <c r="L550" i="8" s="1"/>
  <c r="F549" i="8"/>
  <c r="F548" i="8"/>
  <c r="L548" i="8" s="1"/>
  <c r="F547" i="8"/>
  <c r="L547" i="8" s="1"/>
  <c r="F546" i="8"/>
  <c r="L546" i="8" s="1"/>
  <c r="F545" i="8"/>
  <c r="F544" i="8"/>
  <c r="L544" i="8" s="1"/>
  <c r="F541" i="8"/>
  <c r="G541" i="8" s="1"/>
  <c r="F540" i="8"/>
  <c r="G540" i="8" s="1"/>
  <c r="F539" i="8"/>
  <c r="G539" i="8" s="1"/>
  <c r="F538" i="8"/>
  <c r="G538" i="8" s="1"/>
  <c r="M538" i="8" s="1"/>
  <c r="F537" i="8"/>
  <c r="G537" i="8" s="1"/>
  <c r="M537" i="8" s="1"/>
  <c r="F536" i="8"/>
  <c r="F535" i="8"/>
  <c r="G535" i="8" s="1"/>
  <c r="M535" i="8" s="1"/>
  <c r="F534" i="8"/>
  <c r="G534" i="8" s="1"/>
  <c r="M534" i="8" s="1"/>
  <c r="F533" i="8"/>
  <c r="G533" i="8" s="1"/>
  <c r="M533" i="8" s="1"/>
  <c r="F532" i="8"/>
  <c r="F531" i="8"/>
  <c r="G531" i="8" s="1"/>
  <c r="M531" i="8" s="1"/>
  <c r="F530" i="8"/>
  <c r="G530" i="8" s="1"/>
  <c r="M530" i="8" s="1"/>
  <c r="F529" i="8"/>
  <c r="G529" i="8" s="1"/>
  <c r="M529" i="8" s="1"/>
  <c r="F526" i="8"/>
  <c r="F525" i="8"/>
  <c r="L525" i="8" s="1"/>
  <c r="F523" i="8"/>
  <c r="L523" i="8" s="1"/>
  <c r="F522" i="8"/>
  <c r="L522" i="8" s="1"/>
  <c r="F521" i="8"/>
  <c r="L521" i="8" s="1"/>
  <c r="F520" i="8"/>
  <c r="L520" i="8" s="1"/>
  <c r="F519" i="8"/>
  <c r="F518" i="8"/>
  <c r="F516" i="8"/>
  <c r="F515" i="8"/>
  <c r="L515" i="8" s="1"/>
  <c r="F514" i="8"/>
  <c r="L514" i="8" s="1"/>
  <c r="F510" i="8"/>
  <c r="F509" i="8"/>
  <c r="L509" i="8" s="1"/>
  <c r="F508" i="8"/>
  <c r="L508" i="8" s="1"/>
  <c r="F507" i="8"/>
  <c r="L507" i="8" s="1"/>
  <c r="F506" i="8"/>
  <c r="L506" i="8" s="1"/>
  <c r="F505" i="8"/>
  <c r="L505" i="8" s="1"/>
  <c r="F504" i="8"/>
  <c r="F503" i="8"/>
  <c r="F502" i="8"/>
  <c r="F501" i="8"/>
  <c r="L501" i="8" s="1"/>
  <c r="F500" i="8"/>
  <c r="L500" i="8" s="1"/>
  <c r="F499" i="8"/>
  <c r="L499" i="8" s="1"/>
  <c r="F496" i="8"/>
  <c r="G496" i="8" s="1"/>
  <c r="M496" i="8" s="1"/>
  <c r="F495" i="8"/>
  <c r="F494" i="8"/>
  <c r="G494" i="8" s="1"/>
  <c r="M494" i="8" s="1"/>
  <c r="F491" i="8"/>
  <c r="F490" i="8"/>
  <c r="L490" i="8" s="1"/>
  <c r="F489" i="8"/>
  <c r="F488" i="8"/>
  <c r="F487" i="8"/>
  <c r="L487" i="8" s="1"/>
  <c r="F486" i="8"/>
  <c r="G486" i="8" s="1"/>
  <c r="F483" i="8"/>
  <c r="L483" i="8" s="1"/>
  <c r="F482" i="8"/>
  <c r="F479" i="8"/>
  <c r="G479" i="8" s="1"/>
  <c r="F478" i="8"/>
  <c r="G478" i="8" s="1"/>
  <c r="F477" i="8"/>
  <c r="G477" i="8" s="1"/>
  <c r="F471" i="8"/>
  <c r="L471" i="8" s="1"/>
  <c r="F470" i="8"/>
  <c r="F468" i="8"/>
  <c r="L468" i="8" s="1"/>
  <c r="F467" i="8"/>
  <c r="F466" i="8"/>
  <c r="L466" i="8" s="1"/>
  <c r="F464" i="8"/>
  <c r="F463" i="8"/>
  <c r="L463" i="8" s="1"/>
  <c r="F461" i="8"/>
  <c r="F460" i="8"/>
  <c r="L460" i="8" s="1"/>
  <c r="F459" i="8"/>
  <c r="F457" i="8"/>
  <c r="L457" i="8" s="1"/>
  <c r="F456" i="8"/>
  <c r="F455" i="8"/>
  <c r="L455" i="8" s="1"/>
  <c r="F454" i="8"/>
  <c r="F453" i="8"/>
  <c r="L453" i="8" s="1"/>
  <c r="F452" i="8"/>
  <c r="F451" i="8"/>
  <c r="L451" i="8" s="1"/>
  <c r="F450" i="8"/>
  <c r="F449" i="8"/>
  <c r="L449" i="8" s="1"/>
  <c r="F448" i="8"/>
  <c r="F447" i="8"/>
  <c r="L447" i="8" s="1"/>
  <c r="F445" i="8"/>
  <c r="L444" i="8"/>
  <c r="H444" i="8"/>
  <c r="F443" i="8"/>
  <c r="L443" i="8" s="1"/>
  <c r="F442" i="8"/>
  <c r="F438" i="8"/>
  <c r="L438" i="8" s="1"/>
  <c r="F437" i="8"/>
  <c r="F436" i="8"/>
  <c r="L436" i="8" s="1"/>
  <c r="F435" i="8"/>
  <c r="F434" i="8"/>
  <c r="L434" i="8" s="1"/>
  <c r="F431" i="8"/>
  <c r="F428" i="8"/>
  <c r="F425" i="8"/>
  <c r="F422" i="8"/>
  <c r="L422" i="8" s="1"/>
  <c r="F421" i="8"/>
  <c r="L421" i="8" s="1"/>
  <c r="F418" i="8"/>
  <c r="L418" i="8" s="1"/>
  <c r="F417" i="8"/>
  <c r="L417" i="8" s="1"/>
  <c r="F416" i="8"/>
  <c r="L416" i="8" s="1"/>
  <c r="F415" i="8"/>
  <c r="L415" i="8" s="1"/>
  <c r="F414" i="8"/>
  <c r="L414" i="8" s="1"/>
  <c r="F411" i="8"/>
  <c r="L411" i="8" s="1"/>
  <c r="F410" i="8"/>
  <c r="L410" i="8" s="1"/>
  <c r="F407" i="8"/>
  <c r="L407" i="8" s="1"/>
  <c r="F406" i="8"/>
  <c r="L406" i="8" s="1"/>
  <c r="F405" i="8"/>
  <c r="L405" i="8" s="1"/>
  <c r="F404" i="8"/>
  <c r="L404" i="8" s="1"/>
  <c r="F403" i="8"/>
  <c r="L403" i="8" s="1"/>
  <c r="F402" i="8"/>
  <c r="L402" i="8" s="1"/>
  <c r="F401" i="8"/>
  <c r="L401" i="8" s="1"/>
  <c r="F400" i="8"/>
  <c r="L400" i="8" s="1"/>
  <c r="F397" i="8"/>
  <c r="L397" i="8" s="1"/>
  <c r="F394" i="8"/>
  <c r="L394" i="8" s="1"/>
  <c r="F393" i="8"/>
  <c r="L393" i="8" s="1"/>
  <c r="F392" i="8"/>
  <c r="L392" i="8" s="1"/>
  <c r="F391" i="8"/>
  <c r="L391" i="8" s="1"/>
  <c r="F390" i="8"/>
  <c r="L390" i="8" s="1"/>
  <c r="F386" i="8"/>
  <c r="L386" i="8" s="1"/>
  <c r="F385" i="8"/>
  <c r="L385" i="8" s="1"/>
  <c r="F383" i="8"/>
  <c r="L383" i="8" s="1"/>
  <c r="F381" i="8"/>
  <c r="G381" i="8" s="1"/>
  <c r="F380" i="8"/>
  <c r="L380" i="8" s="1"/>
  <c r="F378" i="8"/>
  <c r="L378" i="8" s="1"/>
  <c r="F377" i="8"/>
  <c r="L377" i="8" s="1"/>
  <c r="F376" i="8"/>
  <c r="G376" i="8" s="1"/>
  <c r="F375" i="8"/>
  <c r="L375" i="8" s="1"/>
  <c r="F374" i="8"/>
  <c r="L374" i="8" s="1"/>
  <c r="F372" i="8"/>
  <c r="L372" i="8" s="1"/>
  <c r="F371" i="8"/>
  <c r="G371" i="8" s="1"/>
  <c r="F367" i="8"/>
  <c r="L367" i="8" s="1"/>
  <c r="F366" i="8"/>
  <c r="L366" i="8" s="1"/>
  <c r="F364" i="8"/>
  <c r="L364" i="8" s="1"/>
  <c r="F363" i="8"/>
  <c r="L363" i="8" s="1"/>
  <c r="F362" i="8"/>
  <c r="L362" i="8" s="1"/>
  <c r="F361" i="8"/>
  <c r="L361" i="8" s="1"/>
  <c r="F360" i="8"/>
  <c r="L360" i="8" s="1"/>
  <c r="F359" i="8"/>
  <c r="L359" i="8" s="1"/>
  <c r="F358" i="8"/>
  <c r="L358" i="8" s="1"/>
  <c r="F356" i="8"/>
  <c r="L356" i="8" s="1"/>
  <c r="F355" i="8"/>
  <c r="L355" i="8" s="1"/>
  <c r="F353" i="8"/>
  <c r="L353" i="8" s="1"/>
  <c r="F352" i="8"/>
  <c r="L352" i="8" s="1"/>
  <c r="F350" i="8"/>
  <c r="L350" i="8" s="1"/>
  <c r="F349" i="8"/>
  <c r="L349" i="8" s="1"/>
  <c r="F348" i="8"/>
  <c r="L348" i="8" s="1"/>
  <c r="F347" i="8"/>
  <c r="L347" i="8" s="1"/>
  <c r="F346" i="8"/>
  <c r="L346" i="8" s="1"/>
  <c r="F345" i="8"/>
  <c r="L345" i="8" s="1"/>
  <c r="F340" i="8"/>
  <c r="L340" i="8" s="1"/>
  <c r="F338" i="8"/>
  <c r="L338" i="8" s="1"/>
  <c r="F337" i="8"/>
  <c r="L337" i="8" s="1"/>
  <c r="F335" i="8"/>
  <c r="L335" i="8" s="1"/>
  <c r="F334" i="8"/>
  <c r="L334" i="8" s="1"/>
  <c r="F333" i="8"/>
  <c r="L333" i="8" s="1"/>
  <c r="F331" i="8"/>
  <c r="L331" i="8" s="1"/>
  <c r="F330" i="8"/>
  <c r="L330" i="8" s="1"/>
  <c r="F328" i="8"/>
  <c r="L328" i="8" s="1"/>
  <c r="F327" i="8"/>
  <c r="L327" i="8" s="1"/>
  <c r="F326" i="8"/>
  <c r="L326" i="8" s="1"/>
  <c r="F325" i="8"/>
  <c r="L325" i="8" s="1"/>
  <c r="F323" i="8"/>
  <c r="L323" i="8" s="1"/>
  <c r="F321" i="8"/>
  <c r="L321" i="8" s="1"/>
  <c r="F320" i="8"/>
  <c r="L320" i="8" s="1"/>
  <c r="F319" i="8"/>
  <c r="L319" i="8" s="1"/>
  <c r="F318" i="8"/>
  <c r="L318" i="8" s="1"/>
  <c r="F314" i="8"/>
  <c r="G314" i="8" s="1"/>
  <c r="M314" i="8" s="1"/>
  <c r="F313" i="8"/>
  <c r="G313" i="8" s="1"/>
  <c r="M313" i="8" s="1"/>
  <c r="F312" i="8"/>
  <c r="G312" i="8" s="1"/>
  <c r="M312" i="8" s="1"/>
  <c r="F309" i="8"/>
  <c r="L309" i="8" s="1"/>
  <c r="F308" i="8"/>
  <c r="L308" i="8" s="1"/>
  <c r="F307" i="8"/>
  <c r="L307" i="8" s="1"/>
  <c r="F306" i="8"/>
  <c r="L306" i="8" s="1"/>
  <c r="F305" i="8"/>
  <c r="L305" i="8" s="1"/>
  <c r="F304" i="8"/>
  <c r="L304" i="8" s="1"/>
  <c r="F303" i="8"/>
  <c r="L303" i="8" s="1"/>
  <c r="F302" i="8"/>
  <c r="L302" i="8" s="1"/>
  <c r="F301" i="8"/>
  <c r="L301" i="8" s="1"/>
  <c r="F300" i="8"/>
  <c r="L300" i="8" s="1"/>
  <c r="F299" i="8"/>
  <c r="L299" i="8" s="1"/>
  <c r="F298" i="8"/>
  <c r="L298" i="8" s="1"/>
  <c r="F297" i="8"/>
  <c r="L297" i="8" s="1"/>
  <c r="F296" i="8"/>
  <c r="L296" i="8" s="1"/>
  <c r="F295" i="8"/>
  <c r="L295" i="8" s="1"/>
  <c r="F294" i="8"/>
  <c r="L294" i="8" s="1"/>
  <c r="F293" i="8"/>
  <c r="L293" i="8" s="1"/>
  <c r="F292" i="8"/>
  <c r="L292" i="8" s="1"/>
  <c r="F291" i="8"/>
  <c r="L291" i="8" s="1"/>
  <c r="F290" i="8"/>
  <c r="L290" i="8" s="1"/>
  <c r="F289" i="8"/>
  <c r="L289" i="8" s="1"/>
  <c r="F288" i="8"/>
  <c r="L288" i="8" s="1"/>
  <c r="F287" i="8"/>
  <c r="L287" i="8" s="1"/>
  <c r="F286" i="8"/>
  <c r="L286" i="8" s="1"/>
  <c r="F285" i="8"/>
  <c r="G285" i="8" s="1"/>
  <c r="F284" i="8"/>
  <c r="G284" i="8" s="1"/>
  <c r="F283" i="8"/>
  <c r="G283" i="8" s="1"/>
  <c r="F282" i="8"/>
  <c r="G282" i="8" s="1"/>
  <c r="F281" i="8"/>
  <c r="G281" i="8" s="1"/>
  <c r="F280" i="8"/>
  <c r="G280" i="8" s="1"/>
  <c r="F279" i="8"/>
  <c r="G279" i="8" s="1"/>
  <c r="F278" i="8"/>
  <c r="G278" i="8" s="1"/>
  <c r="F277" i="8"/>
  <c r="G277" i="8" s="1"/>
  <c r="F276" i="8"/>
  <c r="G276" i="8" s="1"/>
  <c r="F275" i="8"/>
  <c r="G275" i="8" s="1"/>
  <c r="F274" i="8"/>
  <c r="G274" i="8" s="1"/>
  <c r="F273" i="8"/>
  <c r="G273" i="8" s="1"/>
  <c r="F272" i="8"/>
  <c r="G272" i="8" s="1"/>
  <c r="F271" i="8"/>
  <c r="G271" i="8" s="1"/>
  <c r="F270" i="8"/>
  <c r="G270" i="8" s="1"/>
  <c r="F269" i="8"/>
  <c r="G269" i="8" s="1"/>
  <c r="F268" i="8"/>
  <c r="G268" i="8" s="1"/>
  <c r="F267" i="8"/>
  <c r="G267" i="8" s="1"/>
  <c r="F266" i="8"/>
  <c r="G266" i="8" s="1"/>
  <c r="F265" i="8"/>
  <c r="L265" i="8" s="1"/>
  <c r="F264" i="8"/>
  <c r="L264" i="8" s="1"/>
  <c r="F263" i="8"/>
  <c r="L263" i="8" s="1"/>
  <c r="F262" i="8"/>
  <c r="L262" i="8" s="1"/>
  <c r="F261" i="8"/>
  <c r="L261" i="8" s="1"/>
  <c r="F260" i="8"/>
  <c r="L260" i="8" s="1"/>
  <c r="F259" i="8"/>
  <c r="L259" i="8" s="1"/>
  <c r="F258" i="8"/>
  <c r="L258" i="8" s="1"/>
  <c r="F257" i="8"/>
  <c r="L257" i="8" s="1"/>
  <c r="F256" i="8"/>
  <c r="L256" i="8" s="1"/>
  <c r="F253" i="8"/>
  <c r="L253" i="8" s="1"/>
  <c r="F252" i="8"/>
  <c r="L252" i="8" s="1"/>
  <c r="F251" i="8"/>
  <c r="L251" i="8" s="1"/>
  <c r="F249" i="8"/>
  <c r="L249" i="8" s="1"/>
  <c r="F248" i="8"/>
  <c r="L248" i="8" s="1"/>
  <c r="F247" i="8"/>
  <c r="L247" i="8" s="1"/>
  <c r="F246" i="8"/>
  <c r="L246" i="8" s="1"/>
  <c r="F244" i="8"/>
  <c r="L244" i="8" s="1"/>
  <c r="F243" i="8"/>
  <c r="L243" i="8" s="1"/>
  <c r="F242" i="8"/>
  <c r="L242" i="8" s="1"/>
  <c r="F241" i="8"/>
  <c r="L241" i="8" s="1"/>
  <c r="F240" i="8"/>
  <c r="L240" i="8" s="1"/>
  <c r="F239" i="8"/>
  <c r="L239" i="8" s="1"/>
  <c r="F238" i="8"/>
  <c r="L238" i="8" s="1"/>
  <c r="F237" i="8"/>
  <c r="L237" i="8" s="1"/>
  <c r="F236" i="8"/>
  <c r="L236" i="8" s="1"/>
  <c r="F235" i="8"/>
  <c r="L235" i="8" s="1"/>
  <c r="F234" i="8"/>
  <c r="L234" i="8" s="1"/>
  <c r="F232" i="8"/>
  <c r="G232" i="8" s="1"/>
  <c r="F231" i="8"/>
  <c r="G231" i="8" s="1"/>
  <c r="F230" i="8"/>
  <c r="G230" i="8" s="1"/>
  <c r="F229" i="8"/>
  <c r="G229" i="8" s="1"/>
  <c r="F228" i="8"/>
  <c r="G228" i="8" s="1"/>
  <c r="F227" i="8"/>
  <c r="G227" i="8" s="1"/>
  <c r="F225" i="8"/>
  <c r="L225" i="8" s="1"/>
  <c r="F224" i="8"/>
  <c r="L224" i="8" s="1"/>
  <c r="F223" i="8"/>
  <c r="L223" i="8" s="1"/>
  <c r="F222" i="8"/>
  <c r="L222" i="8" s="1"/>
  <c r="F221" i="8"/>
  <c r="L221" i="8" s="1"/>
  <c r="F220" i="8"/>
  <c r="L220" i="8" s="1"/>
  <c r="F219" i="8"/>
  <c r="L219" i="8" s="1"/>
  <c r="F218" i="8"/>
  <c r="L218" i="8" s="1"/>
  <c r="F217" i="8"/>
  <c r="L217" i="8" s="1"/>
  <c r="F216" i="8"/>
  <c r="L216" i="8" s="1"/>
  <c r="F215" i="8"/>
  <c r="L215" i="8" s="1"/>
  <c r="F213" i="8"/>
  <c r="L213" i="8" s="1"/>
  <c r="F212" i="8"/>
  <c r="L212" i="8" s="1"/>
  <c r="F211" i="8"/>
  <c r="L211" i="8" s="1"/>
  <c r="F210" i="8"/>
  <c r="L210" i="8" s="1"/>
  <c r="F209" i="8"/>
  <c r="L209" i="8" s="1"/>
  <c r="F208" i="8"/>
  <c r="L208" i="8" s="1"/>
  <c r="F207" i="8"/>
  <c r="L207" i="8" s="1"/>
  <c r="F205" i="8"/>
  <c r="L205" i="8" s="1"/>
  <c r="F204" i="8"/>
  <c r="L204" i="8" s="1"/>
  <c r="F203" i="8"/>
  <c r="L203" i="8" s="1"/>
  <c r="F202" i="8"/>
  <c r="L202" i="8" s="1"/>
  <c r="F201" i="8"/>
  <c r="L201" i="8" s="1"/>
  <c r="F200" i="8"/>
  <c r="L200" i="8" s="1"/>
  <c r="F199" i="8"/>
  <c r="L199" i="8" s="1"/>
  <c r="F198" i="8"/>
  <c r="L198" i="8" s="1"/>
  <c r="F196" i="8"/>
  <c r="L196" i="8" s="1"/>
  <c r="F195" i="8"/>
  <c r="L195" i="8" s="1"/>
  <c r="F194" i="8"/>
  <c r="L194" i="8" s="1"/>
  <c r="F193" i="8"/>
  <c r="L193" i="8" s="1"/>
  <c r="F192" i="8"/>
  <c r="L192" i="8" s="1"/>
  <c r="F187" i="8"/>
  <c r="F186" i="8"/>
  <c r="F185" i="8"/>
  <c r="L185" i="8" s="1"/>
  <c r="F184" i="8"/>
  <c r="L184" i="8" s="1"/>
  <c r="F183" i="8"/>
  <c r="F182" i="8"/>
  <c r="F181" i="8"/>
  <c r="L181" i="8" s="1"/>
  <c r="F180" i="8"/>
  <c r="L180" i="8" s="1"/>
  <c r="F179" i="8"/>
  <c r="F178" i="8"/>
  <c r="F177" i="8"/>
  <c r="L177" i="8" s="1"/>
  <c r="F176" i="8"/>
  <c r="L176" i="8" s="1"/>
  <c r="F175" i="8"/>
  <c r="F174" i="8"/>
  <c r="F173" i="8"/>
  <c r="L173" i="8" s="1"/>
  <c r="F172" i="8"/>
  <c r="L172" i="8" s="1"/>
  <c r="F171" i="8"/>
  <c r="F170" i="8"/>
  <c r="F169" i="8"/>
  <c r="L169" i="8" s="1"/>
  <c r="F168" i="8"/>
  <c r="L168" i="8" s="1"/>
  <c r="F167" i="8"/>
  <c r="F164" i="8"/>
  <c r="F163" i="8"/>
  <c r="L163" i="8" s="1"/>
  <c r="F162" i="8"/>
  <c r="L162" i="8" s="1"/>
  <c r="F160" i="8"/>
  <c r="L160" i="8" s="1"/>
  <c r="F159" i="8"/>
  <c r="L159" i="8" s="1"/>
  <c r="F157" i="8"/>
  <c r="L157" i="8" s="1"/>
  <c r="F155" i="8"/>
  <c r="L155" i="8" s="1"/>
  <c r="F154" i="8"/>
  <c r="L154" i="8" s="1"/>
  <c r="F153" i="8"/>
  <c r="L153" i="8" s="1"/>
  <c r="F149" i="8"/>
  <c r="F148" i="8"/>
  <c r="L148" i="8" s="1"/>
  <c r="F147" i="8"/>
  <c r="F146" i="8"/>
  <c r="L146" i="8" s="1"/>
  <c r="F143" i="8"/>
  <c r="F142" i="8"/>
  <c r="L142" i="8" s="1"/>
  <c r="F141" i="8"/>
  <c r="F140" i="8"/>
  <c r="L140" i="8" s="1"/>
  <c r="F139" i="8"/>
  <c r="F138" i="8"/>
  <c r="L138" i="8" s="1"/>
  <c r="F137" i="8"/>
  <c r="L137" i="8" s="1"/>
  <c r="F133" i="8"/>
  <c r="F132" i="8"/>
  <c r="L132" i="8" s="1"/>
  <c r="F131" i="8"/>
  <c r="F130" i="8"/>
  <c r="L130" i="8" s="1"/>
  <c r="F126" i="8"/>
  <c r="F124" i="8"/>
  <c r="F123" i="8"/>
  <c r="L123" i="8" s="1"/>
  <c r="F122" i="8"/>
  <c r="F117" i="8"/>
  <c r="L117" i="8" s="1"/>
  <c r="F116" i="8"/>
  <c r="L116" i="8" s="1"/>
  <c r="F115" i="8"/>
  <c r="L115" i="8" s="1"/>
  <c r="F112" i="8"/>
  <c r="L112" i="8" s="1"/>
  <c r="F111" i="8"/>
  <c r="F110" i="8"/>
  <c r="L110" i="8" s="1"/>
  <c r="F109" i="8"/>
  <c r="F108" i="8"/>
  <c r="L108" i="8" s="1"/>
  <c r="F107" i="8"/>
  <c r="L107" i="8" s="1"/>
  <c r="F104" i="8"/>
  <c r="F103" i="8"/>
  <c r="L103" i="8" s="1"/>
  <c r="F99" i="8"/>
  <c r="L99" i="8" s="1"/>
  <c r="F98" i="8"/>
  <c r="L98" i="8" s="1"/>
  <c r="F97" i="8"/>
  <c r="L97" i="8" s="1"/>
  <c r="F95" i="8"/>
  <c r="F94" i="8"/>
  <c r="L94" i="8" s="1"/>
  <c r="F93" i="8"/>
  <c r="L93" i="8" s="1"/>
  <c r="F92" i="8"/>
  <c r="L92" i="8" s="1"/>
  <c r="F91" i="8"/>
  <c r="L91" i="8" s="1"/>
  <c r="F90" i="8"/>
  <c r="L90" i="8" s="1"/>
  <c r="F89" i="8"/>
  <c r="L89" i="8" s="1"/>
  <c r="F88" i="8"/>
  <c r="L88" i="8" s="1"/>
  <c r="F87" i="8"/>
  <c r="L87" i="8" s="1"/>
  <c r="F86" i="8"/>
  <c r="L86" i="8" s="1"/>
  <c r="F85" i="8"/>
  <c r="L85" i="8" s="1"/>
  <c r="F84" i="8"/>
  <c r="L84" i="8" s="1"/>
  <c r="F83" i="8"/>
  <c r="L83" i="8" s="1"/>
  <c r="F82" i="8"/>
  <c r="L82" i="8" s="1"/>
  <c r="F81" i="8"/>
  <c r="L81" i="8" s="1"/>
  <c r="F80" i="8"/>
  <c r="L80" i="8" s="1"/>
  <c r="F79" i="8"/>
  <c r="L79" i="8" s="1"/>
  <c r="F78" i="8"/>
  <c r="L78" i="8" s="1"/>
  <c r="F77" i="8"/>
  <c r="L77" i="8" s="1"/>
  <c r="F76" i="8"/>
  <c r="L76" i="8" s="1"/>
  <c r="F74" i="8"/>
  <c r="L74" i="8" s="1"/>
  <c r="F70" i="8"/>
  <c r="G70" i="8" s="1"/>
  <c r="F69" i="8"/>
  <c r="G69" i="8" s="1"/>
  <c r="F68" i="8"/>
  <c r="G68" i="8" s="1"/>
  <c r="F67" i="8"/>
  <c r="G67" i="8" s="1"/>
  <c r="F66" i="8"/>
  <c r="L66" i="8" s="1"/>
  <c r="F65" i="8"/>
  <c r="L65" i="8" s="1"/>
  <c r="F64" i="8"/>
  <c r="G64" i="8" s="1"/>
  <c r="F60" i="8"/>
  <c r="L60" i="8" s="1"/>
  <c r="F59" i="8"/>
  <c r="L59" i="8" s="1"/>
  <c r="F58" i="8"/>
  <c r="L58" i="8" s="1"/>
  <c r="F57" i="8"/>
  <c r="L57" i="8" s="1"/>
  <c r="F56" i="8"/>
  <c r="G56" i="8" s="1"/>
  <c r="F55" i="8"/>
  <c r="L55" i="8" s="1"/>
  <c r="F54" i="8"/>
  <c r="L54" i="8" s="1"/>
  <c r="F50" i="8"/>
  <c r="L50" i="8" s="1"/>
  <c r="F49" i="8"/>
  <c r="L49" i="8" s="1"/>
  <c r="F48" i="8"/>
  <c r="L48" i="8" s="1"/>
  <c r="F47" i="8"/>
  <c r="G47" i="8" s="1"/>
  <c r="N47" i="8" s="1"/>
  <c r="F45" i="8"/>
  <c r="L45" i="8" s="1"/>
  <c r="F44" i="8"/>
  <c r="L44" i="8" s="1"/>
  <c r="F43" i="8"/>
  <c r="L43" i="8" s="1"/>
  <c r="F42" i="8"/>
  <c r="L42" i="8" s="1"/>
  <c r="F40" i="8"/>
  <c r="L40" i="8" s="1"/>
  <c r="F39" i="8"/>
  <c r="G39" i="8" s="1"/>
  <c r="N39" i="8" s="1"/>
  <c r="F38" i="8"/>
  <c r="G38" i="8" s="1"/>
  <c r="N38" i="8" s="1"/>
  <c r="F37" i="8"/>
  <c r="L37" i="8" s="1"/>
  <c r="F35" i="8"/>
  <c r="G35" i="8" s="1"/>
  <c r="N35" i="8" s="1"/>
  <c r="F34" i="8"/>
  <c r="G34" i="8" s="1"/>
  <c r="N34" i="8" s="1"/>
  <c r="F33" i="8"/>
  <c r="L33" i="8" s="1"/>
  <c r="F32" i="8"/>
  <c r="L32" i="8" s="1"/>
  <c r="F28" i="8"/>
  <c r="L28" i="8" s="1"/>
  <c r="F27" i="8"/>
  <c r="F26" i="8"/>
  <c r="F25" i="8"/>
  <c r="F23" i="8"/>
  <c r="L23" i="8" s="1"/>
  <c r="F22" i="8"/>
  <c r="F21" i="8"/>
  <c r="F20" i="8"/>
  <c r="F16" i="8"/>
  <c r="L16" i="8" s="1"/>
  <c r="F15" i="8"/>
  <c r="L15" i="8" s="1"/>
  <c r="F14" i="8"/>
  <c r="L14" i="8" s="1"/>
  <c r="F13" i="8"/>
  <c r="G13" i="8" s="1"/>
  <c r="G552" i="8" l="1"/>
  <c r="L720" i="8"/>
  <c r="G463" i="8"/>
  <c r="N463" i="8" s="1"/>
  <c r="G87" i="8"/>
  <c r="M87" i="8" s="1"/>
  <c r="G298" i="8"/>
  <c r="M298" i="8" s="1"/>
  <c r="L273" i="8"/>
  <c r="G74" i="8"/>
  <c r="M74" i="8" s="1"/>
  <c r="G718" i="8"/>
  <c r="M718" i="8" s="1"/>
  <c r="G600" i="8"/>
  <c r="N600" i="8" s="1"/>
  <c r="G216" i="8"/>
  <c r="H216" i="8" s="1"/>
  <c r="G219" i="8"/>
  <c r="M219" i="8" s="1"/>
  <c r="G383" i="8"/>
  <c r="N383" i="8" s="1"/>
  <c r="G390" i="8"/>
  <c r="N390" i="8" s="1"/>
  <c r="G580" i="8"/>
  <c r="N580" i="8" s="1"/>
  <c r="G589" i="8"/>
  <c r="L628" i="8"/>
  <c r="L696" i="8"/>
  <c r="L744" i="8"/>
  <c r="N750" i="8"/>
  <c r="G81" i="8"/>
  <c r="M81" i="8" s="1"/>
  <c r="G215" i="8"/>
  <c r="N215" i="8" s="1"/>
  <c r="L539" i="8"/>
  <c r="G544" i="8"/>
  <c r="H594" i="8"/>
  <c r="L629" i="8"/>
  <c r="H641" i="8"/>
  <c r="G650" i="8"/>
  <c r="G58" i="8"/>
  <c r="M58" i="8" s="1"/>
  <c r="G98" i="8"/>
  <c r="N98" i="8" s="1"/>
  <c r="G140" i="8"/>
  <c r="M140" i="8" s="1"/>
  <c r="G162" i="8"/>
  <c r="N162" i="8" s="1"/>
  <c r="L281" i="8"/>
  <c r="G306" i="8"/>
  <c r="M306" i="8" s="1"/>
  <c r="G340" i="8"/>
  <c r="M340" i="8" s="1"/>
  <c r="G404" i="8"/>
  <c r="M404" i="8" s="1"/>
  <c r="G416" i="8"/>
  <c r="M416" i="8" s="1"/>
  <c r="G436" i="8"/>
  <c r="N436" i="8" s="1"/>
  <c r="G449" i="8"/>
  <c r="M449" i="8" s="1"/>
  <c r="G468" i="8"/>
  <c r="N468" i="8" s="1"/>
  <c r="G505" i="8"/>
  <c r="G520" i="8"/>
  <c r="N520" i="8" s="1"/>
  <c r="G576" i="8"/>
  <c r="N576" i="8" s="1"/>
  <c r="G658" i="8"/>
  <c r="M658" i="8" s="1"/>
  <c r="G660" i="8"/>
  <c r="M660" i="8" s="1"/>
  <c r="G662" i="8"/>
  <c r="M662" i="8" s="1"/>
  <c r="G664" i="8"/>
  <c r="M664" i="8" s="1"/>
  <c r="G669" i="8"/>
  <c r="M669" i="8" s="1"/>
  <c r="G672" i="8"/>
  <c r="M672" i="8" s="1"/>
  <c r="G717" i="8"/>
  <c r="M717" i="8" s="1"/>
  <c r="G719" i="8"/>
  <c r="M719" i="8" s="1"/>
  <c r="G80" i="8"/>
  <c r="M80" i="8" s="1"/>
  <c r="G82" i="8"/>
  <c r="M82" i="8" s="1"/>
  <c r="G92" i="8"/>
  <c r="M92" i="8" s="1"/>
  <c r="G110" i="8"/>
  <c r="M110" i="8" s="1"/>
  <c r="G146" i="8"/>
  <c r="M146" i="8" s="1"/>
  <c r="G196" i="8"/>
  <c r="M196" i="8" s="1"/>
  <c r="G443" i="8"/>
  <c r="N443" i="8" s="1"/>
  <c r="G453" i="8"/>
  <c r="M453" i="8" s="1"/>
  <c r="L772" i="8"/>
  <c r="G15" i="8"/>
  <c r="M15" i="8" s="1"/>
  <c r="G40" i="8"/>
  <c r="N40" i="8" s="1"/>
  <c r="G97" i="8"/>
  <c r="M97" i="8" s="1"/>
  <c r="G99" i="8"/>
  <c r="M99" i="8" s="1"/>
  <c r="G132" i="8"/>
  <c r="M132" i="8" s="1"/>
  <c r="G205" i="8"/>
  <c r="M205" i="8" s="1"/>
  <c r="G246" i="8"/>
  <c r="M246" i="8" s="1"/>
  <c r="G290" i="8"/>
  <c r="M290" i="8" s="1"/>
  <c r="G372" i="8"/>
  <c r="G400" i="8"/>
  <c r="M400" i="8" s="1"/>
  <c r="G403" i="8"/>
  <c r="M403" i="8" s="1"/>
  <c r="G405" i="8"/>
  <c r="N405" i="8" s="1"/>
  <c r="G410" i="8"/>
  <c r="G415" i="8"/>
  <c r="M415" i="8" s="1"/>
  <c r="G417" i="8"/>
  <c r="N417" i="8" s="1"/>
  <c r="G457" i="8"/>
  <c r="N457" i="8" s="1"/>
  <c r="G548" i="8"/>
  <c r="H596" i="8"/>
  <c r="G659" i="8"/>
  <c r="M659" i="8" s="1"/>
  <c r="G661" i="8"/>
  <c r="M661" i="8" s="1"/>
  <c r="G663" i="8"/>
  <c r="M663" i="8" s="1"/>
  <c r="G665" i="8"/>
  <c r="M665" i="8" s="1"/>
  <c r="G670" i="8"/>
  <c r="M670" i="8" s="1"/>
  <c r="G680" i="8"/>
  <c r="H680" i="8" s="1"/>
  <c r="G25" i="8"/>
  <c r="L25" i="8"/>
  <c r="G21" i="8"/>
  <c r="L21" i="8"/>
  <c r="G26" i="8"/>
  <c r="L26" i="8"/>
  <c r="G49" i="8"/>
  <c r="G54" i="8"/>
  <c r="L56" i="8"/>
  <c r="L61" i="8" s="1"/>
  <c r="G79" i="8"/>
  <c r="N79" i="8" s="1"/>
  <c r="G88" i="8"/>
  <c r="M88" i="8" s="1"/>
  <c r="G93" i="8"/>
  <c r="M93" i="8" s="1"/>
  <c r="G112" i="8"/>
  <c r="M112" i="8" s="1"/>
  <c r="G137" i="8"/>
  <c r="N137" i="8" s="1"/>
  <c r="G142" i="8"/>
  <c r="M142" i="8" s="1"/>
  <c r="G169" i="8"/>
  <c r="G172" i="8"/>
  <c r="H172" i="8" s="1"/>
  <c r="G177" i="8"/>
  <c r="H177" i="8" s="1"/>
  <c r="G180" i="8"/>
  <c r="H180" i="8" s="1"/>
  <c r="G185" i="8"/>
  <c r="G192" i="8"/>
  <c r="M192" i="8" s="1"/>
  <c r="G210" i="8"/>
  <c r="M210" i="8" s="1"/>
  <c r="G223" i="8"/>
  <c r="M223" i="8" s="1"/>
  <c r="G248" i="8"/>
  <c r="M248" i="8" s="1"/>
  <c r="G252" i="8"/>
  <c r="M252" i="8" s="1"/>
  <c r="L275" i="8"/>
  <c r="G294" i="8"/>
  <c r="M294" i="8" s="1"/>
  <c r="L312" i="8"/>
  <c r="G377" i="8"/>
  <c r="N377" i="8" s="1"/>
  <c r="G401" i="8"/>
  <c r="N401" i="8" s="1"/>
  <c r="G421" i="8"/>
  <c r="N421" i="8" s="1"/>
  <c r="G438" i="8"/>
  <c r="G447" i="8"/>
  <c r="N447" i="8" s="1"/>
  <c r="G455" i="8"/>
  <c r="N455" i="8" s="1"/>
  <c r="G466" i="8"/>
  <c r="N466" i="8" s="1"/>
  <c r="G483" i="8"/>
  <c r="N483" i="8" s="1"/>
  <c r="G509" i="8"/>
  <c r="N509" i="8" s="1"/>
  <c r="G515" i="8"/>
  <c r="N515" i="8" s="1"/>
  <c r="G550" i="8"/>
  <c r="N550" i="8" s="1"/>
  <c r="G578" i="8"/>
  <c r="L594" i="8"/>
  <c r="L596" i="8"/>
  <c r="G604" i="8"/>
  <c r="N604" i="8" s="1"/>
  <c r="H637" i="8"/>
  <c r="G648" i="8"/>
  <c r="N648" i="8" s="1"/>
  <c r="L691" i="8"/>
  <c r="L700" i="8"/>
  <c r="G732" i="8"/>
  <c r="M732" i="8" s="1"/>
  <c r="G734" i="8"/>
  <c r="M734" i="8" s="1"/>
  <c r="G741" i="8"/>
  <c r="N741" i="8" s="1"/>
  <c r="G746" i="8"/>
  <c r="M746" i="8" s="1"/>
  <c r="H761" i="8"/>
  <c r="H779" i="8"/>
  <c r="H781" i="8"/>
  <c r="H783" i="8"/>
  <c r="H785" i="8"/>
  <c r="G794" i="8"/>
  <c r="N794" i="8" s="1"/>
  <c r="N795" i="8" s="1"/>
  <c r="L761" i="8"/>
  <c r="L779" i="8"/>
  <c r="L781" i="8"/>
  <c r="L783" i="8"/>
  <c r="L785" i="8"/>
  <c r="G20" i="8"/>
  <c r="L20" i="8"/>
  <c r="G22" i="8"/>
  <c r="L22" i="8"/>
  <c r="G27" i="8"/>
  <c r="L27" i="8"/>
  <c r="G50" i="8"/>
  <c r="M50" i="8" s="1"/>
  <c r="G60" i="8"/>
  <c r="H60" i="8" s="1"/>
  <c r="H87" i="8"/>
  <c r="G94" i="8"/>
  <c r="N94" i="8" s="1"/>
  <c r="G108" i="8"/>
  <c r="M108" i="8" s="1"/>
  <c r="G123" i="8"/>
  <c r="M123" i="8" s="1"/>
  <c r="G130" i="8"/>
  <c r="M130" i="8" s="1"/>
  <c r="G138" i="8"/>
  <c r="M138" i="8" s="1"/>
  <c r="G148" i="8"/>
  <c r="M148" i="8" s="1"/>
  <c r="G163" i="8"/>
  <c r="H163" i="8" s="1"/>
  <c r="G168" i="8"/>
  <c r="H168" i="8" s="1"/>
  <c r="G173" i="8"/>
  <c r="N173" i="8" s="1"/>
  <c r="G176" i="8"/>
  <c r="H176" i="8" s="1"/>
  <c r="G181" i="8"/>
  <c r="N181" i="8" s="1"/>
  <c r="G184" i="8"/>
  <c r="H184" i="8" s="1"/>
  <c r="G201" i="8"/>
  <c r="M201" i="8" s="1"/>
  <c r="L267" i="8"/>
  <c r="L283" i="8"/>
  <c r="G286" i="8"/>
  <c r="M286" i="8" s="1"/>
  <c r="G302" i="8"/>
  <c r="M302" i="8" s="1"/>
  <c r="G337" i="8"/>
  <c r="M337" i="8" s="1"/>
  <c r="G394" i="8"/>
  <c r="H394" i="8" s="1"/>
  <c r="G407" i="8"/>
  <c r="M407" i="8" s="1"/>
  <c r="G434" i="8"/>
  <c r="N434" i="8" s="1"/>
  <c r="G451" i="8"/>
  <c r="N451" i="8" s="1"/>
  <c r="G460" i="8"/>
  <c r="M460" i="8" s="1"/>
  <c r="G471" i="8"/>
  <c r="N471" i="8" s="1"/>
  <c r="G490" i="8"/>
  <c r="M490" i="8" s="1"/>
  <c r="G501" i="8"/>
  <c r="N501" i="8" s="1"/>
  <c r="G525" i="8"/>
  <c r="H525" i="8" s="1"/>
  <c r="G546" i="8"/>
  <c r="N546" i="8" s="1"/>
  <c r="G554" i="8"/>
  <c r="N554" i="8" s="1"/>
  <c r="G582" i="8"/>
  <c r="N582" i="8" s="1"/>
  <c r="G587" i="8"/>
  <c r="M587" i="8" s="1"/>
  <c r="L632" i="8"/>
  <c r="H645" i="8"/>
  <c r="G654" i="8"/>
  <c r="H654" i="8" s="1"/>
  <c r="G682" i="8"/>
  <c r="H682" i="8" s="1"/>
  <c r="L690" i="8"/>
  <c r="L692" i="8"/>
  <c r="G709" i="8"/>
  <c r="M709" i="8" s="1"/>
  <c r="L724" i="8"/>
  <c r="L727" i="8"/>
  <c r="G733" i="8"/>
  <c r="M733" i="8" s="1"/>
  <c r="G735" i="8"/>
  <c r="M735" i="8" s="1"/>
  <c r="G747" i="8"/>
  <c r="M747" i="8" s="1"/>
  <c r="H750" i="8"/>
  <c r="G767" i="8"/>
  <c r="M767" i="8" s="1"/>
  <c r="G770" i="8"/>
  <c r="M770" i="8" s="1"/>
  <c r="H772" i="8"/>
  <c r="M574" i="8"/>
  <c r="M38" i="8"/>
  <c r="H38" i="8"/>
  <c r="O38" i="8" s="1"/>
  <c r="H56" i="8"/>
  <c r="N56" i="8"/>
  <c r="M35" i="8"/>
  <c r="H35" i="8"/>
  <c r="O35" i="8" s="1"/>
  <c r="M13" i="8"/>
  <c r="N13" i="8"/>
  <c r="N74" i="8"/>
  <c r="N82" i="8"/>
  <c r="L95" i="8"/>
  <c r="L100" i="8" s="1"/>
  <c r="G95" i="8"/>
  <c r="N99" i="8"/>
  <c r="G107" i="8"/>
  <c r="M107" i="8" s="1"/>
  <c r="L124" i="8"/>
  <c r="G124" i="8"/>
  <c r="L147" i="8"/>
  <c r="G147" i="8"/>
  <c r="M147" i="8" s="1"/>
  <c r="L171" i="8"/>
  <c r="G171" i="8"/>
  <c r="N171" i="8" s="1"/>
  <c r="L174" i="8"/>
  <c r="G174" i="8"/>
  <c r="M174" i="8" s="1"/>
  <c r="L187" i="8"/>
  <c r="G187" i="8"/>
  <c r="N187" i="8" s="1"/>
  <c r="N80" i="8"/>
  <c r="L109" i="8"/>
  <c r="G109" i="8"/>
  <c r="M109" i="8" s="1"/>
  <c r="L122" i="8"/>
  <c r="G122" i="8"/>
  <c r="N138" i="8"/>
  <c r="L143" i="8"/>
  <c r="G143" i="8"/>
  <c r="L149" i="8"/>
  <c r="G149" i="8"/>
  <c r="M149" i="8" s="1"/>
  <c r="L167" i="8"/>
  <c r="G167" i="8"/>
  <c r="N167" i="8" s="1"/>
  <c r="L170" i="8"/>
  <c r="G170" i="8"/>
  <c r="M170" i="8" s="1"/>
  <c r="L183" i="8"/>
  <c r="G183" i="8"/>
  <c r="N183" i="8" s="1"/>
  <c r="L186" i="8"/>
  <c r="G186" i="8"/>
  <c r="M186" i="8" s="1"/>
  <c r="L35" i="8"/>
  <c r="G44" i="8"/>
  <c r="N44" i="8" s="1"/>
  <c r="G45" i="8"/>
  <c r="N45" i="8" s="1"/>
  <c r="N58" i="8"/>
  <c r="H74" i="8"/>
  <c r="G76" i="8"/>
  <c r="G77" i="8"/>
  <c r="H80" i="8"/>
  <c r="G83" i="8"/>
  <c r="G89" i="8"/>
  <c r="G90" i="8"/>
  <c r="H93" i="8"/>
  <c r="L104" i="8"/>
  <c r="L105" i="8" s="1"/>
  <c r="G104" i="8"/>
  <c r="N104" i="8" s="1"/>
  <c r="L111" i="8"/>
  <c r="G111" i="8"/>
  <c r="M111" i="8" s="1"/>
  <c r="N123" i="8"/>
  <c r="L131" i="8"/>
  <c r="G131" i="8"/>
  <c r="M131" i="8" s="1"/>
  <c r="L141" i="8"/>
  <c r="G141" i="8"/>
  <c r="L164" i="8"/>
  <c r="L165" i="8" s="1"/>
  <c r="G164" i="8"/>
  <c r="M164" i="8" s="1"/>
  <c r="L179" i="8"/>
  <c r="G179" i="8"/>
  <c r="N179" i="8" s="1"/>
  <c r="L182" i="8"/>
  <c r="G182" i="8"/>
  <c r="M182" i="8" s="1"/>
  <c r="L13" i="8"/>
  <c r="L17" i="8" s="1"/>
  <c r="G33" i="8"/>
  <c r="N33" i="8" s="1"/>
  <c r="L38" i="8"/>
  <c r="G78" i="8"/>
  <c r="G84" i="8"/>
  <c r="G85" i="8"/>
  <c r="N85" i="8" s="1"/>
  <c r="G86" i="8"/>
  <c r="G91" i="8"/>
  <c r="L126" i="8"/>
  <c r="G126" i="8"/>
  <c r="L133" i="8"/>
  <c r="G133" i="8"/>
  <c r="M133" i="8" s="1"/>
  <c r="L139" i="8"/>
  <c r="G139" i="8"/>
  <c r="L175" i="8"/>
  <c r="G175" i="8"/>
  <c r="N175" i="8" s="1"/>
  <c r="L178" i="8"/>
  <c r="G178" i="8"/>
  <c r="M178" i="8" s="1"/>
  <c r="G194" i="8"/>
  <c r="M194" i="8" s="1"/>
  <c r="G195" i="8"/>
  <c r="M195" i="8" s="1"/>
  <c r="G199" i="8"/>
  <c r="M199" i="8" s="1"/>
  <c r="G200" i="8"/>
  <c r="M200" i="8" s="1"/>
  <c r="G203" i="8"/>
  <c r="M203" i="8" s="1"/>
  <c r="G204" i="8"/>
  <c r="M204" i="8" s="1"/>
  <c r="G208" i="8"/>
  <c r="M208" i="8" s="1"/>
  <c r="G209" i="8"/>
  <c r="M209" i="8" s="1"/>
  <c r="G212" i="8"/>
  <c r="M212" i="8" s="1"/>
  <c r="G213" i="8"/>
  <c r="M213" i="8" s="1"/>
  <c r="G217" i="8"/>
  <c r="H217" i="8" s="1"/>
  <c r="G218" i="8"/>
  <c r="N219" i="8"/>
  <c r="G224" i="8"/>
  <c r="G225" i="8"/>
  <c r="G249" i="8"/>
  <c r="M249" i="8" s="1"/>
  <c r="G253" i="8"/>
  <c r="M253" i="8" s="1"/>
  <c r="L271" i="8"/>
  <c r="L279" i="8"/>
  <c r="G287" i="8"/>
  <c r="M287" i="8" s="1"/>
  <c r="G288" i="8"/>
  <c r="M288" i="8" s="1"/>
  <c r="G289" i="8"/>
  <c r="M289" i="8" s="1"/>
  <c r="G295" i="8"/>
  <c r="M295" i="8" s="1"/>
  <c r="G296" i="8"/>
  <c r="M296" i="8" s="1"/>
  <c r="G297" i="8"/>
  <c r="M297" i="8" s="1"/>
  <c r="G303" i="8"/>
  <c r="M303" i="8" s="1"/>
  <c r="G304" i="8"/>
  <c r="M304" i="8" s="1"/>
  <c r="G305" i="8"/>
  <c r="M305" i="8" s="1"/>
  <c r="H313" i="8"/>
  <c r="G338" i="8"/>
  <c r="M338" i="8" s="1"/>
  <c r="G380" i="8"/>
  <c r="M380" i="8" s="1"/>
  <c r="G391" i="8"/>
  <c r="M391" i="8" s="1"/>
  <c r="G392" i="8"/>
  <c r="M392" i="8" s="1"/>
  <c r="G393" i="8"/>
  <c r="M393" i="8" s="1"/>
  <c r="G402" i="8"/>
  <c r="H402" i="8" s="1"/>
  <c r="G411" i="8"/>
  <c r="M411" i="8" s="1"/>
  <c r="G414" i="8"/>
  <c r="H414" i="8" s="1"/>
  <c r="G422" i="8"/>
  <c r="N422" i="8" s="1"/>
  <c r="L428" i="8"/>
  <c r="G428" i="8"/>
  <c r="M428" i="8" s="1"/>
  <c r="M429" i="8" s="1"/>
  <c r="L437" i="8"/>
  <c r="G437" i="8"/>
  <c r="N437" i="8" s="1"/>
  <c r="L445" i="8"/>
  <c r="G445" i="8"/>
  <c r="N445" i="8" s="1"/>
  <c r="L454" i="8"/>
  <c r="G454" i="8"/>
  <c r="N454" i="8" s="1"/>
  <c r="L464" i="8"/>
  <c r="G464" i="8"/>
  <c r="N464" i="8" s="1"/>
  <c r="L489" i="8"/>
  <c r="G489" i="8"/>
  <c r="H489" i="8" s="1"/>
  <c r="L502" i="8"/>
  <c r="G502" i="8"/>
  <c r="M502" i="8" s="1"/>
  <c r="L504" i="8"/>
  <c r="G504" i="8"/>
  <c r="N504" i="8" s="1"/>
  <c r="L442" i="8"/>
  <c r="G442" i="8"/>
  <c r="N442" i="8" s="1"/>
  <c r="L448" i="8"/>
  <c r="G448" i="8"/>
  <c r="M448" i="8" s="1"/>
  <c r="L456" i="8"/>
  <c r="G456" i="8"/>
  <c r="M456" i="8" s="1"/>
  <c r="L467" i="8"/>
  <c r="G467" i="8"/>
  <c r="N467" i="8" s="1"/>
  <c r="L482" i="8"/>
  <c r="L484" i="8" s="1"/>
  <c r="G482" i="8"/>
  <c r="N482" i="8" s="1"/>
  <c r="L491" i="8"/>
  <c r="G491" i="8"/>
  <c r="M491" i="8" s="1"/>
  <c r="G495" i="8"/>
  <c r="N495" i="8" s="1"/>
  <c r="L495" i="8"/>
  <c r="L518" i="8"/>
  <c r="G518" i="8"/>
  <c r="M518" i="8" s="1"/>
  <c r="L526" i="8"/>
  <c r="G526" i="8"/>
  <c r="M526" i="8" s="1"/>
  <c r="G532" i="8"/>
  <c r="L532" i="8"/>
  <c r="G536" i="8"/>
  <c r="N536" i="8" s="1"/>
  <c r="L536" i="8"/>
  <c r="L545" i="8"/>
  <c r="G545" i="8"/>
  <c r="N545" i="8" s="1"/>
  <c r="L553" i="8"/>
  <c r="G553" i="8"/>
  <c r="N553" i="8" s="1"/>
  <c r="L581" i="8"/>
  <c r="G581" i="8"/>
  <c r="M581" i="8" s="1"/>
  <c r="H219" i="8"/>
  <c r="G220" i="8"/>
  <c r="G221" i="8"/>
  <c r="N221" i="8" s="1"/>
  <c r="G222" i="8"/>
  <c r="G247" i="8"/>
  <c r="M247" i="8" s="1"/>
  <c r="G251" i="8"/>
  <c r="M251" i="8" s="1"/>
  <c r="G291" i="8"/>
  <c r="M291" i="8" s="1"/>
  <c r="G292" i="8"/>
  <c r="M292" i="8" s="1"/>
  <c r="G293" i="8"/>
  <c r="M293" i="8" s="1"/>
  <c r="G299" i="8"/>
  <c r="M299" i="8" s="1"/>
  <c r="G300" i="8"/>
  <c r="M300" i="8" s="1"/>
  <c r="G301" i="8"/>
  <c r="M301" i="8" s="1"/>
  <c r="G307" i="8"/>
  <c r="M307" i="8" s="1"/>
  <c r="G308" i="8"/>
  <c r="M308" i="8" s="1"/>
  <c r="G309" i="8"/>
  <c r="M309" i="8" s="1"/>
  <c r="L313" i="8"/>
  <c r="G318" i="8"/>
  <c r="M318" i="8" s="1"/>
  <c r="G319" i="8"/>
  <c r="M319" i="8" s="1"/>
  <c r="G320" i="8"/>
  <c r="M320" i="8" s="1"/>
  <c r="G321" i="8"/>
  <c r="M321" i="8" s="1"/>
  <c r="G323" i="8"/>
  <c r="M323" i="8" s="1"/>
  <c r="G325" i="8"/>
  <c r="M325" i="8" s="1"/>
  <c r="G326" i="8"/>
  <c r="M326" i="8" s="1"/>
  <c r="G327" i="8"/>
  <c r="M327" i="8" s="1"/>
  <c r="G328" i="8"/>
  <c r="M328" i="8" s="1"/>
  <c r="G330" i="8"/>
  <c r="M330" i="8" s="1"/>
  <c r="G331" i="8"/>
  <c r="M331" i="8" s="1"/>
  <c r="G333" i="8"/>
  <c r="M333" i="8" s="1"/>
  <c r="G334" i="8"/>
  <c r="M334" i="8" s="1"/>
  <c r="G335" i="8"/>
  <c r="H335" i="8" s="1"/>
  <c r="G367" i="8"/>
  <c r="G375" i="8"/>
  <c r="M375" i="8" s="1"/>
  <c r="G386" i="8"/>
  <c r="M386" i="8" s="1"/>
  <c r="G397" i="8"/>
  <c r="N397" i="8" s="1"/>
  <c r="G406" i="8"/>
  <c r="H406" i="8" s="1"/>
  <c r="G418" i="8"/>
  <c r="M418" i="8" s="1"/>
  <c r="L425" i="8"/>
  <c r="G425" i="8"/>
  <c r="M425" i="8" s="1"/>
  <c r="M426" i="8" s="1"/>
  <c r="L431" i="8"/>
  <c r="G431" i="8"/>
  <c r="M431" i="8" s="1"/>
  <c r="M432" i="8" s="1"/>
  <c r="L450" i="8"/>
  <c r="G450" i="8"/>
  <c r="N450" i="8" s="1"/>
  <c r="L459" i="8"/>
  <c r="G459" i="8"/>
  <c r="N459" i="8" s="1"/>
  <c r="L470" i="8"/>
  <c r="G470" i="8"/>
  <c r="N470" i="8" s="1"/>
  <c r="L488" i="8"/>
  <c r="G488" i="8"/>
  <c r="M488" i="8" s="1"/>
  <c r="L503" i="8"/>
  <c r="G503" i="8"/>
  <c r="M503" i="8" s="1"/>
  <c r="L510" i="8"/>
  <c r="G510" i="8"/>
  <c r="M510" i="8" s="1"/>
  <c r="L269" i="8"/>
  <c r="L277" i="8"/>
  <c r="L285" i="8"/>
  <c r="L435" i="8"/>
  <c r="G435" i="8"/>
  <c r="H435" i="8" s="1"/>
  <c r="L452" i="8"/>
  <c r="G452" i="8"/>
  <c r="N452" i="8" s="1"/>
  <c r="L461" i="8"/>
  <c r="G461" i="8"/>
  <c r="N461" i="8" s="1"/>
  <c r="L516" i="8"/>
  <c r="G516" i="8"/>
  <c r="M516" i="8" s="1"/>
  <c r="L519" i="8"/>
  <c r="G519" i="8"/>
  <c r="N519" i="8" s="1"/>
  <c r="L549" i="8"/>
  <c r="G549" i="8"/>
  <c r="N549" i="8" s="1"/>
  <c r="L577" i="8"/>
  <c r="G577" i="8"/>
  <c r="N577" i="8" s="1"/>
  <c r="G742" i="8"/>
  <c r="N742" i="8" s="1"/>
  <c r="G754" i="8"/>
  <c r="M754" i="8" s="1"/>
  <c r="L756" i="8"/>
  <c r="G768" i="8"/>
  <c r="M768" i="8" s="1"/>
  <c r="G774" i="8"/>
  <c r="N774" i="8" s="1"/>
  <c r="L788" i="8"/>
  <c r="L530" i="8"/>
  <c r="L534" i="8"/>
  <c r="L538" i="8"/>
  <c r="G601" i="8"/>
  <c r="M601" i="8" s="1"/>
  <c r="G602" i="8"/>
  <c r="M602" i="8" s="1"/>
  <c r="G603" i="8"/>
  <c r="H603" i="8" s="1"/>
  <c r="H609" i="8"/>
  <c r="L611" i="8"/>
  <c r="M646" i="8"/>
  <c r="H638" i="8"/>
  <c r="H639" i="8"/>
  <c r="H640" i="8"/>
  <c r="N642" i="8"/>
  <c r="N643" i="8"/>
  <c r="G649" i="8"/>
  <c r="N649" i="8" s="1"/>
  <c r="G655" i="8"/>
  <c r="H655" i="8" s="1"/>
  <c r="G676" i="8"/>
  <c r="N676" i="8" s="1"/>
  <c r="G678" i="8"/>
  <c r="N678" i="8" s="1"/>
  <c r="G679" i="8"/>
  <c r="G681" i="8"/>
  <c r="N681" i="8" s="1"/>
  <c r="G683" i="8"/>
  <c r="L686" i="8"/>
  <c r="L687" i="8"/>
  <c r="L688" i="8"/>
  <c r="L689" i="8"/>
  <c r="H694" i="8"/>
  <c r="H698" i="8"/>
  <c r="G703" i="8"/>
  <c r="M703" i="8" s="1"/>
  <c r="G704" i="8"/>
  <c r="M704" i="8" s="1"/>
  <c r="G705" i="8"/>
  <c r="M705" i="8" s="1"/>
  <c r="G706" i="8"/>
  <c r="M706" i="8" s="1"/>
  <c r="G707" i="8"/>
  <c r="M707" i="8" s="1"/>
  <c r="G708" i="8"/>
  <c r="M708" i="8" s="1"/>
  <c r="N749" i="8"/>
  <c r="N645" i="8"/>
  <c r="N641" i="8"/>
  <c r="N637" i="8"/>
  <c r="N225" i="8"/>
  <c r="N93" i="8"/>
  <c r="N89" i="8"/>
  <c r="L586" i="8"/>
  <c r="L613" i="8"/>
  <c r="L617" i="8"/>
  <c r="L624" i="8"/>
  <c r="L723" i="8"/>
  <c r="H749" i="8"/>
  <c r="H756" i="8"/>
  <c r="G759" i="8"/>
  <c r="M759" i="8" s="1"/>
  <c r="N644" i="8"/>
  <c r="G499" i="8"/>
  <c r="M499" i="8" s="1"/>
  <c r="G500" i="8"/>
  <c r="M500" i="8" s="1"/>
  <c r="G506" i="8"/>
  <c r="M506" i="8" s="1"/>
  <c r="G507" i="8"/>
  <c r="M507" i="8" s="1"/>
  <c r="G508" i="8"/>
  <c r="N508" i="8" s="1"/>
  <c r="G514" i="8"/>
  <c r="M514" i="8" s="1"/>
  <c r="G521" i="8"/>
  <c r="M521" i="8" s="1"/>
  <c r="G522" i="8"/>
  <c r="M522" i="8" s="1"/>
  <c r="G523" i="8"/>
  <c r="H523" i="8" s="1"/>
  <c r="H530" i="8"/>
  <c r="H534" i="8"/>
  <c r="H538" i="8"/>
  <c r="G547" i="8"/>
  <c r="N547" i="8" s="1"/>
  <c r="G551" i="8"/>
  <c r="N551" i="8" s="1"/>
  <c r="G555" i="8"/>
  <c r="N555" i="8" s="1"/>
  <c r="G579" i="8"/>
  <c r="N579" i="8" s="1"/>
  <c r="G591" i="8"/>
  <c r="N591" i="8" s="1"/>
  <c r="G605" i="8"/>
  <c r="M605" i="8" s="1"/>
  <c r="L609" i="8"/>
  <c r="H611" i="8"/>
  <c r="L621" i="8"/>
  <c r="N638" i="8"/>
  <c r="N639" i="8"/>
  <c r="H642" i="8"/>
  <c r="H643" i="8"/>
  <c r="H644" i="8"/>
  <c r="G651" i="8"/>
  <c r="N651" i="8" s="1"/>
  <c r="H686" i="8"/>
  <c r="H687" i="8"/>
  <c r="H688" i="8"/>
  <c r="H689" i="8"/>
  <c r="H690" i="8"/>
  <c r="H691" i="8"/>
  <c r="H692" i="8"/>
  <c r="L694" i="8"/>
  <c r="H696" i="8"/>
  <c r="L698" i="8"/>
  <c r="H700" i="8"/>
  <c r="L728" i="8"/>
  <c r="L789" i="8"/>
  <c r="N640" i="8"/>
  <c r="N589" i="8"/>
  <c r="N169" i="8"/>
  <c r="N185" i="8"/>
  <c r="M315" i="8"/>
  <c r="N172" i="8"/>
  <c r="N372" i="8"/>
  <c r="N544" i="8"/>
  <c r="N548" i="8"/>
  <c r="N552" i="8"/>
  <c r="N752" i="8"/>
  <c r="M67" i="8"/>
  <c r="N67" i="8"/>
  <c r="H67" i="8"/>
  <c r="M69" i="8"/>
  <c r="N69" i="8"/>
  <c r="H69" i="8"/>
  <c r="M47" i="8"/>
  <c r="H47" i="8"/>
  <c r="L118" i="8"/>
  <c r="M34" i="8"/>
  <c r="H34" i="8"/>
  <c r="M64" i="8"/>
  <c r="N64" i="8"/>
  <c r="H64" i="8"/>
  <c r="M68" i="8"/>
  <c r="N68" i="8"/>
  <c r="H68" i="8"/>
  <c r="M70" i="8"/>
  <c r="N70" i="8"/>
  <c r="H70" i="8"/>
  <c r="M39" i="8"/>
  <c r="H39" i="8"/>
  <c r="M45" i="8"/>
  <c r="H15" i="8"/>
  <c r="G23" i="8"/>
  <c r="G28" i="8"/>
  <c r="G32" i="8"/>
  <c r="N32" i="8" s="1"/>
  <c r="L34" i="8"/>
  <c r="G37" i="8"/>
  <c r="N37" i="8" s="1"/>
  <c r="L39" i="8"/>
  <c r="G42" i="8"/>
  <c r="N42" i="8" s="1"/>
  <c r="H54" i="8"/>
  <c r="M56" i="8"/>
  <c r="G65" i="8"/>
  <c r="G14" i="8"/>
  <c r="N14" i="8" s="1"/>
  <c r="G16" i="8"/>
  <c r="N16" i="8" s="1"/>
  <c r="G43" i="8"/>
  <c r="N43" i="8" s="1"/>
  <c r="G48" i="8"/>
  <c r="N48" i="8" s="1"/>
  <c r="G55" i="8"/>
  <c r="N55" i="8" s="1"/>
  <c r="G57" i="8"/>
  <c r="N57" i="8" s="1"/>
  <c r="G59" i="8"/>
  <c r="G103" i="8"/>
  <c r="H107" i="8"/>
  <c r="G115" i="8"/>
  <c r="G116" i="8"/>
  <c r="G117" i="8"/>
  <c r="H131" i="8"/>
  <c r="N131" i="8"/>
  <c r="H132" i="8"/>
  <c r="N133" i="8"/>
  <c r="H146" i="8"/>
  <c r="G153" i="8"/>
  <c r="G154" i="8"/>
  <c r="G155" i="8"/>
  <c r="G157" i="8"/>
  <c r="G159" i="8"/>
  <c r="G160" i="8"/>
  <c r="H167" i="8"/>
  <c r="H169" i="8"/>
  <c r="H173" i="8"/>
  <c r="H183" i="8"/>
  <c r="H185" i="8"/>
  <c r="G193" i="8"/>
  <c r="G198" i="8"/>
  <c r="G202" i="8"/>
  <c r="G207" i="8"/>
  <c r="G211" i="8"/>
  <c r="N228" i="8"/>
  <c r="H228" i="8"/>
  <c r="M228" i="8"/>
  <c r="N232" i="8"/>
  <c r="H232" i="8"/>
  <c r="M232" i="8"/>
  <c r="N269" i="8"/>
  <c r="H269" i="8"/>
  <c r="M269" i="8"/>
  <c r="N272" i="8"/>
  <c r="H272" i="8"/>
  <c r="M272" i="8"/>
  <c r="N277" i="8"/>
  <c r="H277" i="8"/>
  <c r="M277" i="8"/>
  <c r="N280" i="8"/>
  <c r="H280" i="8"/>
  <c r="M280" i="8"/>
  <c r="N285" i="8"/>
  <c r="H285" i="8"/>
  <c r="M285" i="8"/>
  <c r="L47" i="8"/>
  <c r="H13" i="8"/>
  <c r="H45" i="8"/>
  <c r="G66" i="8"/>
  <c r="N194" i="8"/>
  <c r="H194" i="8"/>
  <c r="H203" i="8"/>
  <c r="N212" i="8"/>
  <c r="H212" i="8"/>
  <c r="N227" i="8"/>
  <c r="H227" i="8"/>
  <c r="M227" i="8"/>
  <c r="N231" i="8"/>
  <c r="H231" i="8"/>
  <c r="M231" i="8"/>
  <c r="N266" i="8"/>
  <c r="H266" i="8"/>
  <c r="M266" i="8"/>
  <c r="N271" i="8"/>
  <c r="H271" i="8"/>
  <c r="M271" i="8"/>
  <c r="N274" i="8"/>
  <c r="H274" i="8"/>
  <c r="M274" i="8"/>
  <c r="N279" i="8"/>
  <c r="H279" i="8"/>
  <c r="M279" i="8"/>
  <c r="N282" i="8"/>
  <c r="H282" i="8"/>
  <c r="M282" i="8"/>
  <c r="L64" i="8"/>
  <c r="L67" i="8"/>
  <c r="L68" i="8"/>
  <c r="L69" i="8"/>
  <c r="L70" i="8"/>
  <c r="M169" i="8"/>
  <c r="M185" i="8"/>
  <c r="N230" i="8"/>
  <c r="H230" i="8"/>
  <c r="M230" i="8"/>
  <c r="N268" i="8"/>
  <c r="H268" i="8"/>
  <c r="M268" i="8"/>
  <c r="N273" i="8"/>
  <c r="H273" i="8"/>
  <c r="M273" i="8"/>
  <c r="N276" i="8"/>
  <c r="H276" i="8"/>
  <c r="M276" i="8"/>
  <c r="N281" i="8"/>
  <c r="H281" i="8"/>
  <c r="M281" i="8"/>
  <c r="N284" i="8"/>
  <c r="H284" i="8"/>
  <c r="M284" i="8"/>
  <c r="N196" i="8"/>
  <c r="N201" i="8"/>
  <c r="N229" i="8"/>
  <c r="H229" i="8"/>
  <c r="M229" i="8"/>
  <c r="N267" i="8"/>
  <c r="H267" i="8"/>
  <c r="M267" i="8"/>
  <c r="N270" i="8"/>
  <c r="H270" i="8"/>
  <c r="M270" i="8"/>
  <c r="N275" i="8"/>
  <c r="H275" i="8"/>
  <c r="M275" i="8"/>
  <c r="N278" i="8"/>
  <c r="H278" i="8"/>
  <c r="M278" i="8"/>
  <c r="N283" i="8"/>
  <c r="H283" i="8"/>
  <c r="M283" i="8"/>
  <c r="L227" i="8"/>
  <c r="L228" i="8"/>
  <c r="L229" i="8"/>
  <c r="L230" i="8"/>
  <c r="L231" i="8"/>
  <c r="L232" i="8"/>
  <c r="G234" i="8"/>
  <c r="G235" i="8"/>
  <c r="G236" i="8"/>
  <c r="G237" i="8"/>
  <c r="G238" i="8"/>
  <c r="G239" i="8"/>
  <c r="G240" i="8"/>
  <c r="G241" i="8"/>
  <c r="G242" i="8"/>
  <c r="G243" i="8"/>
  <c r="G244" i="8"/>
  <c r="H246" i="8"/>
  <c r="H248" i="8"/>
  <c r="N248" i="8"/>
  <c r="G256" i="8"/>
  <c r="G257" i="8"/>
  <c r="G258" i="8"/>
  <c r="G259" i="8"/>
  <c r="G260" i="8"/>
  <c r="G261" i="8"/>
  <c r="G262" i="8"/>
  <c r="G263" i="8"/>
  <c r="G264" i="8"/>
  <c r="G265" i="8"/>
  <c r="H291" i="8"/>
  <c r="N312" i="8"/>
  <c r="L341" i="8"/>
  <c r="L368" i="8"/>
  <c r="L266" i="8"/>
  <c r="L268" i="8"/>
  <c r="L270" i="8"/>
  <c r="L272" i="8"/>
  <c r="L274" i="8"/>
  <c r="L276" i="8"/>
  <c r="L278" i="8"/>
  <c r="L280" i="8"/>
  <c r="L282" i="8"/>
  <c r="L284" i="8"/>
  <c r="H292" i="8"/>
  <c r="N300" i="8"/>
  <c r="H312" i="8"/>
  <c r="N313" i="8"/>
  <c r="L314" i="8"/>
  <c r="N320" i="8"/>
  <c r="H320" i="8"/>
  <c r="H326" i="8"/>
  <c r="N331" i="8"/>
  <c r="H331" i="8"/>
  <c r="N371" i="8"/>
  <c r="H371" i="8"/>
  <c r="M371" i="8"/>
  <c r="N381" i="8"/>
  <c r="H381" i="8"/>
  <c r="M381" i="8"/>
  <c r="H297" i="8"/>
  <c r="N309" i="8"/>
  <c r="H309" i="8"/>
  <c r="N314" i="8"/>
  <c r="N290" i="8"/>
  <c r="N302" i="8"/>
  <c r="H314" i="8"/>
  <c r="N376" i="8"/>
  <c r="H376" i="8"/>
  <c r="M376" i="8"/>
  <c r="G345" i="8"/>
  <c r="G346" i="8"/>
  <c r="G347" i="8"/>
  <c r="G348" i="8"/>
  <c r="G349" i="8"/>
  <c r="G350" i="8"/>
  <c r="G352" i="8"/>
  <c r="G353" i="8"/>
  <c r="G355" i="8"/>
  <c r="G356" i="8"/>
  <c r="G358" i="8"/>
  <c r="G359" i="8"/>
  <c r="G360" i="8"/>
  <c r="G361" i="8"/>
  <c r="G362" i="8"/>
  <c r="G363" i="8"/>
  <c r="G364" i="8"/>
  <c r="G366" i="8"/>
  <c r="G374" i="8"/>
  <c r="G378" i="8"/>
  <c r="G385" i="8"/>
  <c r="H405" i="8"/>
  <c r="M478" i="8"/>
  <c r="N478" i="8"/>
  <c r="H478" i="8"/>
  <c r="L371" i="8"/>
  <c r="M372" i="8"/>
  <c r="L376" i="8"/>
  <c r="L381" i="8"/>
  <c r="M383" i="8"/>
  <c r="N406" i="8"/>
  <c r="N410" i="8"/>
  <c r="H410" i="8"/>
  <c r="N414" i="8"/>
  <c r="N438" i="8"/>
  <c r="H438" i="8"/>
  <c r="H372" i="8"/>
  <c r="H383" i="8"/>
  <c r="O383" i="8" s="1"/>
  <c r="M477" i="8"/>
  <c r="N477" i="8"/>
  <c r="H477" i="8"/>
  <c r="M479" i="8"/>
  <c r="N479" i="8"/>
  <c r="H479" i="8"/>
  <c r="N486" i="8"/>
  <c r="H486" i="8"/>
  <c r="M486" i="8"/>
  <c r="N392" i="8"/>
  <c r="H392" i="8"/>
  <c r="N404" i="8"/>
  <c r="H404" i="8"/>
  <c r="M410" i="8"/>
  <c r="M414" i="8"/>
  <c r="N416" i="8"/>
  <c r="H416" i="8"/>
  <c r="M438" i="8"/>
  <c r="M483" i="8"/>
  <c r="L486" i="8"/>
  <c r="N494" i="8"/>
  <c r="N523" i="8"/>
  <c r="N529" i="8"/>
  <c r="N533" i="8"/>
  <c r="N537" i="8"/>
  <c r="N541" i="8"/>
  <c r="H541" i="8"/>
  <c r="M541" i="8"/>
  <c r="N578" i="8"/>
  <c r="H578" i="8"/>
  <c r="H582" i="8"/>
  <c r="N585" i="8"/>
  <c r="H585" i="8"/>
  <c r="M585" i="8"/>
  <c r="M592" i="8"/>
  <c r="N592" i="8"/>
  <c r="G597" i="8"/>
  <c r="L597" i="8"/>
  <c r="G697" i="8"/>
  <c r="L697" i="8"/>
  <c r="G784" i="8"/>
  <c r="L784" i="8"/>
  <c r="H483" i="8"/>
  <c r="O483" i="8" s="1"/>
  <c r="G487" i="8"/>
  <c r="H490" i="8"/>
  <c r="H494" i="8"/>
  <c r="L496" i="8"/>
  <c r="H501" i="8"/>
  <c r="N505" i="8"/>
  <c r="H505" i="8"/>
  <c r="H509" i="8"/>
  <c r="H529" i="8"/>
  <c r="N530" i="8"/>
  <c r="L531" i="8"/>
  <c r="H533" i="8"/>
  <c r="N534" i="8"/>
  <c r="L535" i="8"/>
  <c r="H537" i="8"/>
  <c r="N538" i="8"/>
  <c r="N540" i="8"/>
  <c r="H540" i="8"/>
  <c r="M540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88" i="8"/>
  <c r="N590" i="8"/>
  <c r="H590" i="8"/>
  <c r="M590" i="8"/>
  <c r="H592" i="8"/>
  <c r="G623" i="8"/>
  <c r="L623" i="8"/>
  <c r="N650" i="8"/>
  <c r="H650" i="8"/>
  <c r="M650" i="8"/>
  <c r="M452" i="8"/>
  <c r="M457" i="8"/>
  <c r="M463" i="8"/>
  <c r="M468" i="8"/>
  <c r="L477" i="8"/>
  <c r="L478" i="8"/>
  <c r="L479" i="8"/>
  <c r="N496" i="8"/>
  <c r="N510" i="8"/>
  <c r="N516" i="8"/>
  <c r="N531" i="8"/>
  <c r="N535" i="8"/>
  <c r="N539" i="8"/>
  <c r="H539" i="8"/>
  <c r="M539" i="8"/>
  <c r="L541" i="8"/>
  <c r="M578" i="8"/>
  <c r="L585" i="8"/>
  <c r="G608" i="8"/>
  <c r="L608" i="8"/>
  <c r="H452" i="8"/>
  <c r="H457" i="8"/>
  <c r="H461" i="8"/>
  <c r="H463" i="8"/>
  <c r="O463" i="8" s="1"/>
  <c r="H468" i="8"/>
  <c r="L494" i="8"/>
  <c r="H496" i="8"/>
  <c r="M505" i="8"/>
  <c r="N507" i="8"/>
  <c r="H507" i="8"/>
  <c r="N522" i="8"/>
  <c r="H522" i="8"/>
  <c r="L529" i="8"/>
  <c r="H531" i="8"/>
  <c r="N532" i="8"/>
  <c r="L533" i="8"/>
  <c r="H535" i="8"/>
  <c r="L537" i="8"/>
  <c r="L540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N586" i="8"/>
  <c r="H586" i="8"/>
  <c r="M586" i="8"/>
  <c r="H588" i="8"/>
  <c r="L590" i="8"/>
  <c r="G593" i="8"/>
  <c r="L593" i="8"/>
  <c r="L606" i="8"/>
  <c r="G612" i="8"/>
  <c r="L612" i="8"/>
  <c r="G619" i="8"/>
  <c r="L619" i="8"/>
  <c r="M674" i="8"/>
  <c r="N674" i="8"/>
  <c r="H674" i="8"/>
  <c r="N594" i="8"/>
  <c r="L595" i="8"/>
  <c r="N609" i="8"/>
  <c r="L610" i="8"/>
  <c r="N618" i="8"/>
  <c r="H618" i="8"/>
  <c r="M618" i="8"/>
  <c r="N622" i="8"/>
  <c r="H622" i="8"/>
  <c r="M622" i="8"/>
  <c r="N626" i="8"/>
  <c r="H626" i="8"/>
  <c r="M626" i="8"/>
  <c r="N630" i="8"/>
  <c r="H630" i="8"/>
  <c r="M630" i="8"/>
  <c r="N654" i="8"/>
  <c r="N655" i="8"/>
  <c r="L815" i="8"/>
  <c r="L816" i="8" s="1"/>
  <c r="G815" i="8"/>
  <c r="N815" i="8" s="1"/>
  <c r="M544" i="8"/>
  <c r="M548" i="8"/>
  <c r="M552" i="8"/>
  <c r="M554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88" i="8"/>
  <c r="M589" i="8"/>
  <c r="L592" i="8"/>
  <c r="N595" i="8"/>
  <c r="N601" i="8"/>
  <c r="N610" i="8"/>
  <c r="N617" i="8"/>
  <c r="H617" i="8"/>
  <c r="M617" i="8"/>
  <c r="N621" i="8"/>
  <c r="H621" i="8"/>
  <c r="M621" i="8"/>
  <c r="N629" i="8"/>
  <c r="H629" i="8"/>
  <c r="M629" i="8"/>
  <c r="N658" i="8"/>
  <c r="H658" i="8"/>
  <c r="N660" i="8"/>
  <c r="H660" i="8"/>
  <c r="N661" i="8"/>
  <c r="H661" i="8"/>
  <c r="N663" i="8"/>
  <c r="H663" i="8"/>
  <c r="H664" i="8"/>
  <c r="G726" i="8"/>
  <c r="L726" i="8"/>
  <c r="H544" i="8"/>
  <c r="H548" i="8"/>
  <c r="H549" i="8"/>
  <c r="H552" i="8"/>
  <c r="H554" i="8"/>
  <c r="H589" i="8"/>
  <c r="H595" i="8"/>
  <c r="N596" i="8"/>
  <c r="N602" i="8"/>
  <c r="H610" i="8"/>
  <c r="N611" i="8"/>
  <c r="N613" i="8"/>
  <c r="H613" i="8"/>
  <c r="M613" i="8"/>
  <c r="L618" i="8"/>
  <c r="L622" i="8"/>
  <c r="N624" i="8"/>
  <c r="H624" i="8"/>
  <c r="M624" i="8"/>
  <c r="L626" i="8"/>
  <c r="N628" i="8"/>
  <c r="H628" i="8"/>
  <c r="M628" i="8"/>
  <c r="L630" i="8"/>
  <c r="N632" i="8"/>
  <c r="H632" i="8"/>
  <c r="M632" i="8"/>
  <c r="M654" i="8"/>
  <c r="N669" i="8"/>
  <c r="H669" i="8"/>
  <c r="N672" i="8"/>
  <c r="H672" i="8"/>
  <c r="G693" i="8"/>
  <c r="L693" i="8"/>
  <c r="M712" i="8"/>
  <c r="M713" i="8" s="1"/>
  <c r="N712" i="8"/>
  <c r="H712" i="8"/>
  <c r="G762" i="8"/>
  <c r="L762" i="8"/>
  <c r="M680" i="8"/>
  <c r="N687" i="8"/>
  <c r="N689" i="8"/>
  <c r="N691" i="8"/>
  <c r="N694" i="8"/>
  <c r="L695" i="8"/>
  <c r="N698" i="8"/>
  <c r="L699" i="8"/>
  <c r="N725" i="8"/>
  <c r="H725" i="8"/>
  <c r="M725" i="8"/>
  <c r="N730" i="8"/>
  <c r="H730" i="8"/>
  <c r="M730" i="8"/>
  <c r="G790" i="8"/>
  <c r="L790" i="8"/>
  <c r="L810" i="8"/>
  <c r="G810" i="8"/>
  <c r="N810" i="8" s="1"/>
  <c r="L637" i="8"/>
  <c r="L638" i="8"/>
  <c r="L639" i="8"/>
  <c r="L640" i="8"/>
  <c r="L641" i="8"/>
  <c r="L642" i="8"/>
  <c r="L643" i="8"/>
  <c r="L644" i="8"/>
  <c r="L645" i="8"/>
  <c r="L674" i="8"/>
  <c r="N680" i="8"/>
  <c r="N695" i="8"/>
  <c r="N699" i="8"/>
  <c r="H704" i="8"/>
  <c r="H705" i="8"/>
  <c r="N709" i="8"/>
  <c r="H709" i="8"/>
  <c r="N724" i="8"/>
  <c r="H724" i="8"/>
  <c r="M724" i="8"/>
  <c r="N728" i="8"/>
  <c r="H728" i="8"/>
  <c r="M728" i="8"/>
  <c r="L802" i="8"/>
  <c r="G802" i="8"/>
  <c r="N802" i="8" s="1"/>
  <c r="H676" i="8"/>
  <c r="N686" i="8"/>
  <c r="P686" i="8" s="1"/>
  <c r="N688" i="8"/>
  <c r="N690" i="8"/>
  <c r="N692" i="8"/>
  <c r="H695" i="8"/>
  <c r="N696" i="8"/>
  <c r="H699" i="8"/>
  <c r="N700" i="8"/>
  <c r="N718" i="8"/>
  <c r="H718" i="8"/>
  <c r="N723" i="8"/>
  <c r="H723" i="8"/>
  <c r="M723" i="8"/>
  <c r="L725" i="8"/>
  <c r="N727" i="8"/>
  <c r="H727" i="8"/>
  <c r="M727" i="8"/>
  <c r="L730" i="8"/>
  <c r="N732" i="8"/>
  <c r="H732" i="8"/>
  <c r="H733" i="8"/>
  <c r="N735" i="8"/>
  <c r="H735" i="8"/>
  <c r="N744" i="8"/>
  <c r="H744" i="8"/>
  <c r="M744" i="8"/>
  <c r="G757" i="8"/>
  <c r="L757" i="8"/>
  <c r="G780" i="8"/>
  <c r="L780" i="8"/>
  <c r="N754" i="8"/>
  <c r="H754" i="8"/>
  <c r="L765" i="8"/>
  <c r="N770" i="8"/>
  <c r="H770" i="8"/>
  <c r="L778" i="8"/>
  <c r="N781" i="8"/>
  <c r="L782" i="8"/>
  <c r="N785" i="8"/>
  <c r="P785" i="8" s="1"/>
  <c r="L786" i="8"/>
  <c r="L787" i="8"/>
  <c r="N789" i="8"/>
  <c r="H789" i="8"/>
  <c r="M789" i="8"/>
  <c r="L804" i="8"/>
  <c r="G804" i="8"/>
  <c r="N804" i="8" s="1"/>
  <c r="L712" i="8"/>
  <c r="L749" i="8"/>
  <c r="L750" i="8"/>
  <c r="M752" i="8"/>
  <c r="N765" i="8"/>
  <c r="N778" i="8"/>
  <c r="N782" i="8"/>
  <c r="N786" i="8"/>
  <c r="N788" i="8"/>
  <c r="H788" i="8"/>
  <c r="M788" i="8"/>
  <c r="L806" i="8"/>
  <c r="G806" i="8"/>
  <c r="N806" i="8" s="1"/>
  <c r="H752" i="8"/>
  <c r="N756" i="8"/>
  <c r="N761" i="8"/>
  <c r="H765" i="8"/>
  <c r="N772" i="8"/>
  <c r="H778" i="8"/>
  <c r="N779" i="8"/>
  <c r="H782" i="8"/>
  <c r="N783" i="8"/>
  <c r="H786" i="8"/>
  <c r="N787" i="8"/>
  <c r="H787" i="8"/>
  <c r="M787" i="8"/>
  <c r="L800" i="8"/>
  <c r="G800" i="8"/>
  <c r="L808" i="8"/>
  <c r="G808" i="8"/>
  <c r="N808" i="8" s="1"/>
  <c r="G799" i="8"/>
  <c r="N799" i="8" s="1"/>
  <c r="G801" i="8"/>
  <c r="G803" i="8"/>
  <c r="N803" i="8" s="1"/>
  <c r="G805" i="8"/>
  <c r="N805" i="8" s="1"/>
  <c r="G807" i="8"/>
  <c r="G809" i="8"/>
  <c r="G811" i="8"/>
  <c r="N811" i="8" s="1"/>
  <c r="G814" i="8"/>
  <c r="M745" i="7"/>
  <c r="N745" i="7"/>
  <c r="O745" i="7" s="1"/>
  <c r="M748" i="7"/>
  <c r="N748" i="7"/>
  <c r="O748" i="7" s="1"/>
  <c r="M751" i="7"/>
  <c r="N751" i="7"/>
  <c r="O751" i="7" s="1"/>
  <c r="M753" i="7"/>
  <c r="N753" i="7"/>
  <c r="O753" i="7" s="1"/>
  <c r="M755" i="7"/>
  <c r="N755" i="7"/>
  <c r="O755" i="7" s="1"/>
  <c r="M758" i="7"/>
  <c r="N758" i="7"/>
  <c r="O758" i="7" s="1"/>
  <c r="M760" i="7"/>
  <c r="N760" i="7"/>
  <c r="O760" i="7" s="1"/>
  <c r="M763" i="7"/>
  <c r="N763" i="7"/>
  <c r="O763" i="7" s="1"/>
  <c r="M764" i="7"/>
  <c r="N764" i="7"/>
  <c r="O764" i="7" s="1"/>
  <c r="M766" i="7"/>
  <c r="N766" i="7"/>
  <c r="O766" i="7" s="1"/>
  <c r="M769" i="7"/>
  <c r="N769" i="7"/>
  <c r="O769" i="7" s="1"/>
  <c r="M771" i="7"/>
  <c r="N771" i="7"/>
  <c r="O771" i="7" s="1"/>
  <c r="M773" i="7"/>
  <c r="N773" i="7"/>
  <c r="O773" i="7" s="1"/>
  <c r="N743" i="7"/>
  <c r="O743" i="7" s="1"/>
  <c r="M743" i="7"/>
  <c r="M673" i="7"/>
  <c r="N673" i="7"/>
  <c r="M675" i="7"/>
  <c r="N675" i="7"/>
  <c r="O675" i="7" s="1"/>
  <c r="M677" i="7"/>
  <c r="N677" i="7"/>
  <c r="O677" i="7" s="1"/>
  <c r="M685" i="7"/>
  <c r="N685" i="7"/>
  <c r="O685" i="7" s="1"/>
  <c r="M702" i="7"/>
  <c r="N702" i="7"/>
  <c r="O702" i="7" s="1"/>
  <c r="M711" i="7"/>
  <c r="N711" i="7"/>
  <c r="O711" i="7" s="1"/>
  <c r="M625" i="7"/>
  <c r="N625" i="7"/>
  <c r="O625" i="7" s="1"/>
  <c r="M627" i="7"/>
  <c r="N627" i="7"/>
  <c r="O627" i="7" s="1"/>
  <c r="M631" i="7"/>
  <c r="N631" i="7"/>
  <c r="O631" i="7" s="1"/>
  <c r="N620" i="7"/>
  <c r="O620" i="7" s="1"/>
  <c r="M620" i="7"/>
  <c r="N616" i="7"/>
  <c r="O616" i="7" s="1"/>
  <c r="M616" i="7"/>
  <c r="N513" i="7"/>
  <c r="O513" i="7" s="1"/>
  <c r="M513" i="7"/>
  <c r="K196" i="7"/>
  <c r="M214" i="7"/>
  <c r="N214" i="7"/>
  <c r="O214" i="7" s="1"/>
  <c r="M226" i="7"/>
  <c r="N226" i="7"/>
  <c r="O226" i="7" s="1"/>
  <c r="M233" i="7"/>
  <c r="N233" i="7"/>
  <c r="O233" i="7" s="1"/>
  <c r="M245" i="7"/>
  <c r="N245" i="7"/>
  <c r="O245" i="7" s="1"/>
  <c r="M250" i="7"/>
  <c r="N250" i="7"/>
  <c r="O250" i="7" s="1"/>
  <c r="K754" i="7"/>
  <c r="K756" i="7"/>
  <c r="K757" i="7"/>
  <c r="K759" i="7"/>
  <c r="K761" i="7"/>
  <c r="K762" i="7"/>
  <c r="K765" i="7"/>
  <c r="K767" i="7"/>
  <c r="K768" i="7"/>
  <c r="K769" i="7"/>
  <c r="K770" i="7"/>
  <c r="K772" i="7"/>
  <c r="K774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4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4" i="7"/>
  <c r="K815" i="7"/>
  <c r="K752" i="7"/>
  <c r="K750" i="7"/>
  <c r="K749" i="7"/>
  <c r="K747" i="7"/>
  <c r="K746" i="7"/>
  <c r="K744" i="7"/>
  <c r="K742" i="7"/>
  <c r="K741" i="7"/>
  <c r="K732" i="7"/>
  <c r="K733" i="7"/>
  <c r="K734" i="7"/>
  <c r="K735" i="7"/>
  <c r="K726" i="7"/>
  <c r="K727" i="7"/>
  <c r="K728" i="7"/>
  <c r="K730" i="7"/>
  <c r="K725" i="7"/>
  <c r="K724" i="7"/>
  <c r="K723" i="7"/>
  <c r="K719" i="7"/>
  <c r="K718" i="7"/>
  <c r="K717" i="7"/>
  <c r="K679" i="7"/>
  <c r="K680" i="7"/>
  <c r="K681" i="7"/>
  <c r="K682" i="7"/>
  <c r="K683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3" i="7"/>
  <c r="K704" i="7"/>
  <c r="K705" i="7"/>
  <c r="K706" i="7"/>
  <c r="K707" i="7"/>
  <c r="K708" i="7"/>
  <c r="K709" i="7"/>
  <c r="K712" i="7"/>
  <c r="K678" i="7"/>
  <c r="K676" i="7"/>
  <c r="K674" i="7"/>
  <c r="K672" i="7"/>
  <c r="K670" i="7"/>
  <c r="K669" i="7"/>
  <c r="K660" i="7"/>
  <c r="K661" i="7"/>
  <c r="K662" i="7"/>
  <c r="K663" i="7"/>
  <c r="K664" i="7"/>
  <c r="K665" i="7"/>
  <c r="K659" i="7"/>
  <c r="K658" i="7"/>
  <c r="K655" i="7"/>
  <c r="K654" i="7"/>
  <c r="K651" i="7"/>
  <c r="K650" i="7"/>
  <c r="K649" i="7"/>
  <c r="K648" i="7"/>
  <c r="K647" i="7"/>
  <c r="K645" i="7"/>
  <c r="K644" i="7"/>
  <c r="K640" i="7"/>
  <c r="K641" i="7"/>
  <c r="K642" i="7"/>
  <c r="K643" i="7"/>
  <c r="K639" i="7"/>
  <c r="K638" i="7"/>
  <c r="K637" i="7"/>
  <c r="K623" i="7"/>
  <c r="K624" i="7"/>
  <c r="K625" i="7"/>
  <c r="K626" i="7"/>
  <c r="K627" i="7"/>
  <c r="K628" i="7"/>
  <c r="K629" i="7"/>
  <c r="K630" i="7"/>
  <c r="K631" i="7"/>
  <c r="K632" i="7"/>
  <c r="K622" i="7"/>
  <c r="K621" i="7"/>
  <c r="K620" i="7"/>
  <c r="K619" i="7"/>
  <c r="K618" i="7"/>
  <c r="K617" i="7"/>
  <c r="K613" i="7"/>
  <c r="K612" i="7"/>
  <c r="K611" i="7"/>
  <c r="K610" i="7"/>
  <c r="K609" i="7"/>
  <c r="K608" i="7"/>
  <c r="K602" i="7"/>
  <c r="K603" i="7"/>
  <c r="K604" i="7"/>
  <c r="K605" i="7"/>
  <c r="K601" i="7"/>
  <c r="K600" i="7"/>
  <c r="K592" i="7"/>
  <c r="K593" i="7"/>
  <c r="K594" i="7"/>
  <c r="K595" i="7"/>
  <c r="K596" i="7"/>
  <c r="K597" i="7"/>
  <c r="K591" i="7"/>
  <c r="K590" i="7"/>
  <c r="K589" i="7"/>
  <c r="K588" i="7"/>
  <c r="K587" i="7"/>
  <c r="K586" i="7"/>
  <c r="K585" i="7"/>
  <c r="K582" i="7"/>
  <c r="K581" i="7"/>
  <c r="K580" i="7"/>
  <c r="K579" i="7"/>
  <c r="K578" i="7"/>
  <c r="K577" i="7"/>
  <c r="K576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61" i="7"/>
  <c r="K560" i="7"/>
  <c r="K559" i="7"/>
  <c r="K558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31" i="7"/>
  <c r="K532" i="7"/>
  <c r="K533" i="7"/>
  <c r="K534" i="7"/>
  <c r="K535" i="7"/>
  <c r="K536" i="7"/>
  <c r="K537" i="7"/>
  <c r="K538" i="7"/>
  <c r="K539" i="7"/>
  <c r="K540" i="7"/>
  <c r="K541" i="7"/>
  <c r="K530" i="7"/>
  <c r="K529" i="7"/>
  <c r="K526" i="7"/>
  <c r="K525" i="7"/>
  <c r="K521" i="7"/>
  <c r="K522" i="7"/>
  <c r="K523" i="7"/>
  <c r="K520" i="7"/>
  <c r="K519" i="7"/>
  <c r="K518" i="7"/>
  <c r="K516" i="7"/>
  <c r="K515" i="7"/>
  <c r="K514" i="7"/>
  <c r="K502" i="7"/>
  <c r="K503" i="7"/>
  <c r="K504" i="7"/>
  <c r="K505" i="7"/>
  <c r="K506" i="7"/>
  <c r="K507" i="7"/>
  <c r="K508" i="7"/>
  <c r="K509" i="7"/>
  <c r="K510" i="7"/>
  <c r="K501" i="7"/>
  <c r="K500" i="7"/>
  <c r="K499" i="7"/>
  <c r="K496" i="7"/>
  <c r="K495" i="7"/>
  <c r="K494" i="7"/>
  <c r="K488" i="7"/>
  <c r="K489" i="7"/>
  <c r="K490" i="7"/>
  <c r="K491" i="7"/>
  <c r="K487" i="7"/>
  <c r="K486" i="7"/>
  <c r="K483" i="7"/>
  <c r="K482" i="7"/>
  <c r="K479" i="7"/>
  <c r="K478" i="7"/>
  <c r="K477" i="7"/>
  <c r="K471" i="7"/>
  <c r="K470" i="7"/>
  <c r="K468" i="7"/>
  <c r="K467" i="7"/>
  <c r="K466" i="7"/>
  <c r="K464" i="7"/>
  <c r="K463" i="7"/>
  <c r="K461" i="7"/>
  <c r="K460" i="7"/>
  <c r="K459" i="7"/>
  <c r="K448" i="7"/>
  <c r="K449" i="7"/>
  <c r="K450" i="7"/>
  <c r="K451" i="7"/>
  <c r="K452" i="7"/>
  <c r="K453" i="7"/>
  <c r="K454" i="7"/>
  <c r="K455" i="7"/>
  <c r="K456" i="7"/>
  <c r="K457" i="7"/>
  <c r="K447" i="7"/>
  <c r="K445" i="7"/>
  <c r="K443" i="7"/>
  <c r="K442" i="7"/>
  <c r="K435" i="7"/>
  <c r="K436" i="7"/>
  <c r="K437" i="7"/>
  <c r="K438" i="7"/>
  <c r="K434" i="7"/>
  <c r="K431" i="7"/>
  <c r="K428" i="7"/>
  <c r="K425" i="7"/>
  <c r="K422" i="7"/>
  <c r="K421" i="7"/>
  <c r="K416" i="7"/>
  <c r="K417" i="7"/>
  <c r="K418" i="7"/>
  <c r="K415" i="7"/>
  <c r="K414" i="7"/>
  <c r="K411" i="7"/>
  <c r="K410" i="7"/>
  <c r="K401" i="7"/>
  <c r="K402" i="7"/>
  <c r="K403" i="7"/>
  <c r="K404" i="7"/>
  <c r="K405" i="7"/>
  <c r="K406" i="7"/>
  <c r="K407" i="7"/>
  <c r="K400" i="7"/>
  <c r="K397" i="7"/>
  <c r="K392" i="7"/>
  <c r="K393" i="7"/>
  <c r="K394" i="7"/>
  <c r="K391" i="7"/>
  <c r="K390" i="7"/>
  <c r="K385" i="7"/>
  <c r="K386" i="7"/>
  <c r="K383" i="7"/>
  <c r="K381" i="7"/>
  <c r="K380" i="7"/>
  <c r="K378" i="7"/>
  <c r="K377" i="7"/>
  <c r="K376" i="7"/>
  <c r="K375" i="7"/>
  <c r="K374" i="7"/>
  <c r="K372" i="7"/>
  <c r="K371" i="7"/>
  <c r="K367" i="7"/>
  <c r="K366" i="7"/>
  <c r="K360" i="7"/>
  <c r="K361" i="7"/>
  <c r="K362" i="7"/>
  <c r="K363" i="7"/>
  <c r="K364" i="7"/>
  <c r="K359" i="7"/>
  <c r="K358" i="7"/>
  <c r="K356" i="7"/>
  <c r="K355" i="7"/>
  <c r="K353" i="7"/>
  <c r="K352" i="7"/>
  <c r="K346" i="7"/>
  <c r="K347" i="7"/>
  <c r="K348" i="7"/>
  <c r="K349" i="7"/>
  <c r="K350" i="7"/>
  <c r="K345" i="7"/>
  <c r="K326" i="7"/>
  <c r="K327" i="7"/>
  <c r="K328" i="7"/>
  <c r="K330" i="7"/>
  <c r="K331" i="7"/>
  <c r="K333" i="7"/>
  <c r="K334" i="7"/>
  <c r="K335" i="7"/>
  <c r="K337" i="7"/>
  <c r="K338" i="7"/>
  <c r="K340" i="7"/>
  <c r="K325" i="7"/>
  <c r="K323" i="7"/>
  <c r="K321" i="7"/>
  <c r="K320" i="7"/>
  <c r="K319" i="7"/>
  <c r="K318" i="7"/>
  <c r="K314" i="7"/>
  <c r="K313" i="7"/>
  <c r="K312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0" i="7"/>
  <c r="K251" i="7"/>
  <c r="K252" i="7"/>
  <c r="K253" i="7"/>
  <c r="K249" i="7"/>
  <c r="K248" i="7"/>
  <c r="K247" i="7"/>
  <c r="K246" i="7"/>
  <c r="K240" i="7"/>
  <c r="K241" i="7"/>
  <c r="K242" i="7"/>
  <c r="K243" i="7"/>
  <c r="K244" i="7"/>
  <c r="K239" i="7"/>
  <c r="K238" i="7"/>
  <c r="K237" i="7"/>
  <c r="K236" i="7"/>
  <c r="K235" i="7"/>
  <c r="K234" i="7"/>
  <c r="K231" i="7"/>
  <c r="K232" i="7"/>
  <c r="K230" i="7"/>
  <c r="K229" i="7"/>
  <c r="K228" i="7"/>
  <c r="K227" i="7"/>
  <c r="K219" i="7"/>
  <c r="K220" i="7"/>
  <c r="K221" i="7"/>
  <c r="K222" i="7"/>
  <c r="K223" i="7"/>
  <c r="K224" i="7"/>
  <c r="K225" i="7"/>
  <c r="K218" i="7"/>
  <c r="K217" i="7"/>
  <c r="K216" i="7"/>
  <c r="K215" i="7"/>
  <c r="K211" i="7"/>
  <c r="K212" i="7"/>
  <c r="K213" i="7"/>
  <c r="K210" i="7"/>
  <c r="K209" i="7"/>
  <c r="K208" i="7"/>
  <c r="K207" i="7"/>
  <c r="K205" i="7"/>
  <c r="K204" i="7"/>
  <c r="K203" i="7"/>
  <c r="K202" i="7"/>
  <c r="K201" i="7"/>
  <c r="K200" i="7"/>
  <c r="K199" i="7"/>
  <c r="K198" i="7"/>
  <c r="K195" i="7"/>
  <c r="K194" i="7"/>
  <c r="K193" i="7"/>
  <c r="K192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69" i="7"/>
  <c r="K168" i="7"/>
  <c r="K167" i="7"/>
  <c r="K163" i="7"/>
  <c r="K164" i="7"/>
  <c r="K162" i="7"/>
  <c r="K160" i="7"/>
  <c r="K159" i="7"/>
  <c r="K157" i="7"/>
  <c r="K155" i="7"/>
  <c r="K154" i="7"/>
  <c r="K153" i="7"/>
  <c r="K149" i="7"/>
  <c r="K148" i="7"/>
  <c r="K147" i="7"/>
  <c r="K146" i="7"/>
  <c r="K141" i="7"/>
  <c r="K142" i="7"/>
  <c r="K143" i="7"/>
  <c r="K140" i="7"/>
  <c r="K139" i="7"/>
  <c r="K138" i="7"/>
  <c r="K137" i="7"/>
  <c r="K131" i="7"/>
  <c r="K132" i="7"/>
  <c r="K133" i="7"/>
  <c r="K130" i="7"/>
  <c r="K126" i="7"/>
  <c r="K124" i="7"/>
  <c r="K123" i="7"/>
  <c r="K122" i="7"/>
  <c r="K117" i="7"/>
  <c r="K116" i="7"/>
  <c r="K115" i="7"/>
  <c r="K109" i="7"/>
  <c r="K110" i="7"/>
  <c r="K111" i="7"/>
  <c r="K112" i="7"/>
  <c r="K108" i="7"/>
  <c r="K107" i="7"/>
  <c r="K98" i="7"/>
  <c r="K99" i="7"/>
  <c r="K97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76" i="7"/>
  <c r="K74" i="7"/>
  <c r="K66" i="7"/>
  <c r="K67" i="7"/>
  <c r="K68" i="7"/>
  <c r="K69" i="7"/>
  <c r="K70" i="7"/>
  <c r="K65" i="7"/>
  <c r="K64" i="7"/>
  <c r="K58" i="7"/>
  <c r="K59" i="7"/>
  <c r="K60" i="7"/>
  <c r="K57" i="7"/>
  <c r="K56" i="7"/>
  <c r="K55" i="7"/>
  <c r="K54" i="7"/>
  <c r="K50" i="7"/>
  <c r="K49" i="7"/>
  <c r="K48" i="7"/>
  <c r="K47" i="7"/>
  <c r="K43" i="7"/>
  <c r="K44" i="7"/>
  <c r="K45" i="7"/>
  <c r="K42" i="7"/>
  <c r="K40" i="7"/>
  <c r="K39" i="7"/>
  <c r="K38" i="7"/>
  <c r="K37" i="7"/>
  <c r="K33" i="7"/>
  <c r="K34" i="7"/>
  <c r="K35" i="7"/>
  <c r="K32" i="7"/>
  <c r="K26" i="7"/>
  <c r="K27" i="7"/>
  <c r="K28" i="7"/>
  <c r="K25" i="7"/>
  <c r="K21" i="7"/>
  <c r="K22" i="7"/>
  <c r="K23" i="7"/>
  <c r="K20" i="7"/>
  <c r="K14" i="7"/>
  <c r="K15" i="7"/>
  <c r="K16" i="7"/>
  <c r="K13" i="7"/>
  <c r="F815" i="7"/>
  <c r="G815" i="7" s="1"/>
  <c r="J815" i="7"/>
  <c r="F814" i="7"/>
  <c r="G814" i="7" s="1"/>
  <c r="J814" i="7"/>
  <c r="F811" i="7"/>
  <c r="J811" i="7"/>
  <c r="F810" i="7"/>
  <c r="L810" i="7" s="1"/>
  <c r="J810" i="7"/>
  <c r="F809" i="7"/>
  <c r="L809" i="7" s="1"/>
  <c r="J809" i="7"/>
  <c r="F808" i="7"/>
  <c r="L808" i="7" s="1"/>
  <c r="J808" i="7"/>
  <c r="F807" i="7"/>
  <c r="L807" i="7" s="1"/>
  <c r="J807" i="7"/>
  <c r="F806" i="7"/>
  <c r="L806" i="7" s="1"/>
  <c r="J806" i="7"/>
  <c r="F805" i="7"/>
  <c r="L805" i="7" s="1"/>
  <c r="J805" i="7"/>
  <c r="F804" i="7"/>
  <c r="L804" i="7" s="1"/>
  <c r="J804" i="7"/>
  <c r="F803" i="7"/>
  <c r="L803" i="7" s="1"/>
  <c r="J803" i="7"/>
  <c r="F802" i="7"/>
  <c r="L802" i="7" s="1"/>
  <c r="J802" i="7"/>
  <c r="F801" i="7"/>
  <c r="L801" i="7" s="1"/>
  <c r="J801" i="7"/>
  <c r="F800" i="7"/>
  <c r="L800" i="7" s="1"/>
  <c r="J800" i="7"/>
  <c r="F799" i="7"/>
  <c r="L799" i="7" s="1"/>
  <c r="J799" i="7"/>
  <c r="F794" i="7"/>
  <c r="F790" i="7"/>
  <c r="L790" i="7" s="1"/>
  <c r="F789" i="7"/>
  <c r="F788" i="7"/>
  <c r="G788" i="7" s="1"/>
  <c r="F787" i="7"/>
  <c r="F786" i="7"/>
  <c r="L786" i="7" s="1"/>
  <c r="F785" i="7"/>
  <c r="F784" i="7"/>
  <c r="F783" i="7"/>
  <c r="F782" i="7"/>
  <c r="L782" i="7" s="1"/>
  <c r="F781" i="7"/>
  <c r="F780" i="7"/>
  <c r="F779" i="7"/>
  <c r="G779" i="7" s="1"/>
  <c r="F778" i="7"/>
  <c r="L778" i="7" s="1"/>
  <c r="F774" i="7"/>
  <c r="G774" i="7" s="1"/>
  <c r="F772" i="7"/>
  <c r="F770" i="7"/>
  <c r="G770" i="7" s="1"/>
  <c r="F768" i="7"/>
  <c r="G768" i="7" s="1"/>
  <c r="F767" i="7"/>
  <c r="G767" i="7" s="1"/>
  <c r="F765" i="7"/>
  <c r="F762" i="7"/>
  <c r="F761" i="7"/>
  <c r="G761" i="7" s="1"/>
  <c r="F759" i="7"/>
  <c r="F757" i="7"/>
  <c r="F756" i="7"/>
  <c r="G756" i="7" s="1"/>
  <c r="F754" i="7"/>
  <c r="F752" i="7"/>
  <c r="G752" i="7" s="1"/>
  <c r="F750" i="7"/>
  <c r="F749" i="7"/>
  <c r="F747" i="7"/>
  <c r="F746" i="7"/>
  <c r="F744" i="7"/>
  <c r="F742" i="7"/>
  <c r="G742" i="7" s="1"/>
  <c r="F741" i="7"/>
  <c r="F735" i="7"/>
  <c r="F734" i="7"/>
  <c r="F733" i="7"/>
  <c r="G733" i="7" s="1"/>
  <c r="F732" i="7"/>
  <c r="G732" i="7" s="1"/>
  <c r="L731" i="7"/>
  <c r="G731" i="7"/>
  <c r="H731" i="7" s="1"/>
  <c r="F730" i="7"/>
  <c r="F728" i="7"/>
  <c r="F727" i="7"/>
  <c r="F726" i="7"/>
  <c r="F725" i="7"/>
  <c r="F724" i="7"/>
  <c r="F723" i="7"/>
  <c r="F719" i="7"/>
  <c r="F718" i="7"/>
  <c r="F717" i="7"/>
  <c r="F712" i="7"/>
  <c r="L712" i="7" s="1"/>
  <c r="F709" i="7"/>
  <c r="F708" i="7"/>
  <c r="G708" i="7" s="1"/>
  <c r="F707" i="7"/>
  <c r="L707" i="7" s="1"/>
  <c r="F706" i="7"/>
  <c r="L706" i="7" s="1"/>
  <c r="F705" i="7"/>
  <c r="F704" i="7"/>
  <c r="G704" i="7" s="1"/>
  <c r="F703" i="7"/>
  <c r="L703" i="7" s="1"/>
  <c r="F700" i="7"/>
  <c r="L700" i="7" s="1"/>
  <c r="F699" i="7"/>
  <c r="F698" i="7"/>
  <c r="G698" i="7" s="1"/>
  <c r="F697" i="7"/>
  <c r="L697" i="7" s="1"/>
  <c r="F696" i="7"/>
  <c r="L696" i="7" s="1"/>
  <c r="F695" i="7"/>
  <c r="F694" i="7"/>
  <c r="G694" i="7" s="1"/>
  <c r="F693" i="7"/>
  <c r="L693" i="7" s="1"/>
  <c r="F692" i="7"/>
  <c r="L692" i="7" s="1"/>
  <c r="F691" i="7"/>
  <c r="F690" i="7"/>
  <c r="G690" i="7" s="1"/>
  <c r="F689" i="7"/>
  <c r="G689" i="7" s="1"/>
  <c r="F688" i="7"/>
  <c r="L688" i="7" s="1"/>
  <c r="F687" i="7"/>
  <c r="F686" i="7"/>
  <c r="F683" i="7"/>
  <c r="G683" i="7" s="1"/>
  <c r="F682" i="7"/>
  <c r="L682" i="7" s="1"/>
  <c r="F681" i="7"/>
  <c r="F680" i="7"/>
  <c r="G680" i="7" s="1"/>
  <c r="F679" i="7"/>
  <c r="G679" i="7" s="1"/>
  <c r="F678" i="7"/>
  <c r="L678" i="7" s="1"/>
  <c r="F676" i="7"/>
  <c r="F674" i="7"/>
  <c r="G674" i="7" s="1"/>
  <c r="F672" i="7"/>
  <c r="F670" i="7"/>
  <c r="F669" i="7"/>
  <c r="F665" i="7"/>
  <c r="F664" i="7"/>
  <c r="G664" i="7" s="1"/>
  <c r="F663" i="7"/>
  <c r="L663" i="7" s="1"/>
  <c r="F662" i="7"/>
  <c r="F661" i="7"/>
  <c r="F660" i="7"/>
  <c r="G660" i="7" s="1"/>
  <c r="F659" i="7"/>
  <c r="F658" i="7"/>
  <c r="F655" i="7"/>
  <c r="F654" i="7"/>
  <c r="G654" i="7" s="1"/>
  <c r="F651" i="7"/>
  <c r="L651" i="7" s="1"/>
  <c r="F650" i="7"/>
  <c r="F649" i="7"/>
  <c r="F648" i="7"/>
  <c r="G648" i="7" s="1"/>
  <c r="N648" i="7" s="1"/>
  <c r="F645" i="7"/>
  <c r="L645" i="7" s="1"/>
  <c r="F644" i="7"/>
  <c r="F643" i="7"/>
  <c r="L643" i="7" s="1"/>
  <c r="F642" i="7"/>
  <c r="F641" i="7"/>
  <c r="L641" i="7" s="1"/>
  <c r="F640" i="7"/>
  <c r="F639" i="7"/>
  <c r="L639" i="7" s="1"/>
  <c r="F638" i="7"/>
  <c r="F637" i="7"/>
  <c r="F632" i="7"/>
  <c r="F630" i="7"/>
  <c r="L630" i="7" s="1"/>
  <c r="F629" i="7"/>
  <c r="F628" i="7"/>
  <c r="L628" i="7" s="1"/>
  <c r="F626" i="7"/>
  <c r="F624" i="7"/>
  <c r="F623" i="7"/>
  <c r="F622" i="7"/>
  <c r="L622" i="7" s="1"/>
  <c r="F621" i="7"/>
  <c r="F619" i="7"/>
  <c r="L619" i="7" s="1"/>
  <c r="F618" i="7"/>
  <c r="F617" i="7"/>
  <c r="F613" i="7"/>
  <c r="F612" i="7"/>
  <c r="F611" i="7"/>
  <c r="L611" i="7" s="1"/>
  <c r="F610" i="7"/>
  <c r="L610" i="7" s="1"/>
  <c r="F609" i="7"/>
  <c r="L609" i="7" s="1"/>
  <c r="F608" i="7"/>
  <c r="F605" i="7"/>
  <c r="G605" i="7" s="1"/>
  <c r="F604" i="7"/>
  <c r="F603" i="7"/>
  <c r="F602" i="7"/>
  <c r="F601" i="7"/>
  <c r="G601" i="7" s="1"/>
  <c r="F600" i="7"/>
  <c r="L600" i="7" s="1"/>
  <c r="F597" i="7"/>
  <c r="F596" i="7"/>
  <c r="L596" i="7" s="1"/>
  <c r="F595" i="7"/>
  <c r="F594" i="7"/>
  <c r="F593" i="7"/>
  <c r="F592" i="7"/>
  <c r="L592" i="7" s="1"/>
  <c r="F591" i="7"/>
  <c r="F590" i="7"/>
  <c r="F589" i="7"/>
  <c r="F588" i="7"/>
  <c r="L588" i="7" s="1"/>
  <c r="F587" i="7"/>
  <c r="L587" i="7" s="1"/>
  <c r="F586" i="7"/>
  <c r="F585" i="7"/>
  <c r="F582" i="7"/>
  <c r="F581" i="7"/>
  <c r="F580" i="7"/>
  <c r="F579" i="7"/>
  <c r="F578" i="7"/>
  <c r="F577" i="7"/>
  <c r="F576" i="7"/>
  <c r="F573" i="7"/>
  <c r="L573" i="7" s="1"/>
  <c r="F572" i="7"/>
  <c r="F571" i="7"/>
  <c r="F570" i="7"/>
  <c r="F569" i="7"/>
  <c r="F568" i="7"/>
  <c r="F567" i="7"/>
  <c r="F566" i="7"/>
  <c r="L566" i="7" s="1"/>
  <c r="F565" i="7"/>
  <c r="L565" i="7" s="1"/>
  <c r="F564" i="7"/>
  <c r="F563" i="7"/>
  <c r="F562" i="7"/>
  <c r="L562" i="7" s="1"/>
  <c r="F561" i="7"/>
  <c r="F560" i="7"/>
  <c r="F559" i="7"/>
  <c r="F558" i="7"/>
  <c r="F555" i="7"/>
  <c r="G555" i="7" s="1"/>
  <c r="F554" i="7"/>
  <c r="L554" i="7" s="1"/>
  <c r="F553" i="7"/>
  <c r="L553" i="7" s="1"/>
  <c r="F552" i="7"/>
  <c r="F551" i="7"/>
  <c r="G551" i="7" s="1"/>
  <c r="F550" i="7"/>
  <c r="G550" i="7" s="1"/>
  <c r="F549" i="7"/>
  <c r="L549" i="7" s="1"/>
  <c r="F548" i="7"/>
  <c r="F547" i="7"/>
  <c r="G547" i="7" s="1"/>
  <c r="F546" i="7"/>
  <c r="G546" i="7" s="1"/>
  <c r="F545" i="7"/>
  <c r="L545" i="7" s="1"/>
  <c r="F544" i="7"/>
  <c r="F541" i="7"/>
  <c r="F540" i="7"/>
  <c r="L540" i="7" s="1"/>
  <c r="F539" i="7"/>
  <c r="F538" i="7"/>
  <c r="F537" i="7"/>
  <c r="F536" i="7"/>
  <c r="L536" i="7" s="1"/>
  <c r="F535" i="7"/>
  <c r="F534" i="7"/>
  <c r="L534" i="7" s="1"/>
  <c r="F533" i="7"/>
  <c r="L533" i="7" s="1"/>
  <c r="F532" i="7"/>
  <c r="F531" i="7"/>
  <c r="L531" i="7" s="1"/>
  <c r="F530" i="7"/>
  <c r="F529" i="7"/>
  <c r="L529" i="7" s="1"/>
  <c r="F526" i="7"/>
  <c r="L526" i="7" s="1"/>
  <c r="F525" i="7"/>
  <c r="F523" i="7"/>
  <c r="G523" i="7" s="1"/>
  <c r="N523" i="7" s="1"/>
  <c r="F522" i="7"/>
  <c r="L522" i="7" s="1"/>
  <c r="F521" i="7"/>
  <c r="L521" i="7" s="1"/>
  <c r="F520" i="7"/>
  <c r="F519" i="7"/>
  <c r="G519" i="7" s="1"/>
  <c r="F518" i="7"/>
  <c r="L518" i="7" s="1"/>
  <c r="F516" i="7"/>
  <c r="L516" i="7" s="1"/>
  <c r="F515" i="7"/>
  <c r="F514" i="7"/>
  <c r="G514" i="7" s="1"/>
  <c r="F510" i="7"/>
  <c r="L510" i="7" s="1"/>
  <c r="F509" i="7"/>
  <c r="L509" i="7" s="1"/>
  <c r="F508" i="7"/>
  <c r="L508" i="7" s="1"/>
  <c r="F507" i="7"/>
  <c r="F506" i="7"/>
  <c r="L506" i="7" s="1"/>
  <c r="F505" i="7"/>
  <c r="F504" i="7"/>
  <c r="L504" i="7" s="1"/>
  <c r="F503" i="7"/>
  <c r="L503" i="7" s="1"/>
  <c r="F502" i="7"/>
  <c r="L502" i="7" s="1"/>
  <c r="F501" i="7"/>
  <c r="L501" i="7" s="1"/>
  <c r="F500" i="7"/>
  <c r="L500" i="7" s="1"/>
  <c r="F499" i="7"/>
  <c r="F496" i="7"/>
  <c r="L496" i="7" s="1"/>
  <c r="F495" i="7"/>
  <c r="L495" i="7" s="1"/>
  <c r="F494" i="7"/>
  <c r="F491" i="7"/>
  <c r="L491" i="7" s="1"/>
  <c r="F490" i="7"/>
  <c r="F489" i="7"/>
  <c r="F488" i="7"/>
  <c r="L488" i="7" s="1"/>
  <c r="F487" i="7"/>
  <c r="F486" i="7"/>
  <c r="F483" i="7"/>
  <c r="L483" i="7" s="1"/>
  <c r="F482" i="7"/>
  <c r="F479" i="7"/>
  <c r="L479" i="7" s="1"/>
  <c r="F478" i="7"/>
  <c r="F477" i="7"/>
  <c r="L477" i="7" s="1"/>
  <c r="F471" i="7"/>
  <c r="G471" i="7" s="1"/>
  <c r="F470" i="7"/>
  <c r="G470" i="7" s="1"/>
  <c r="F468" i="7"/>
  <c r="G468" i="7" s="1"/>
  <c r="F467" i="7"/>
  <c r="L467" i="7" s="1"/>
  <c r="F466" i="7"/>
  <c r="F464" i="7"/>
  <c r="L464" i="7" s="1"/>
  <c r="F463" i="7"/>
  <c r="F461" i="7"/>
  <c r="F460" i="7"/>
  <c r="G460" i="7" s="1"/>
  <c r="F459" i="7"/>
  <c r="L459" i="7" s="1"/>
  <c r="F457" i="7"/>
  <c r="G457" i="7" s="1"/>
  <c r="F456" i="7"/>
  <c r="L456" i="7" s="1"/>
  <c r="F455" i="7"/>
  <c r="F454" i="7"/>
  <c r="F453" i="7"/>
  <c r="L453" i="7" s="1"/>
  <c r="F452" i="7"/>
  <c r="F451" i="7"/>
  <c r="G451" i="7" s="1"/>
  <c r="N451" i="7" s="1"/>
  <c r="F450" i="7"/>
  <c r="F449" i="7"/>
  <c r="G449" i="7" s="1"/>
  <c r="F448" i="7"/>
  <c r="L448" i="7" s="1"/>
  <c r="F447" i="7"/>
  <c r="F445" i="7"/>
  <c r="L445" i="7" s="1"/>
  <c r="H444" i="7"/>
  <c r="L444" i="7"/>
  <c r="F443" i="7"/>
  <c r="L443" i="7" s="1"/>
  <c r="F442" i="7"/>
  <c r="F438" i="7"/>
  <c r="L438" i="7" s="1"/>
  <c r="F437" i="7"/>
  <c r="F436" i="7"/>
  <c r="L436" i="7" s="1"/>
  <c r="F435" i="7"/>
  <c r="L435" i="7" s="1"/>
  <c r="F434" i="7"/>
  <c r="L434" i="7" s="1"/>
  <c r="F431" i="7"/>
  <c r="F428" i="7"/>
  <c r="L428" i="7" s="1"/>
  <c r="F425" i="7"/>
  <c r="L425" i="7" s="1"/>
  <c r="F422" i="7"/>
  <c r="L422" i="7" s="1"/>
  <c r="F421" i="7"/>
  <c r="F418" i="7"/>
  <c r="L418" i="7" s="1"/>
  <c r="F417" i="7"/>
  <c r="F416" i="7"/>
  <c r="L416" i="7" s="1"/>
  <c r="F415" i="7"/>
  <c r="F414" i="7"/>
  <c r="L414" i="7" s="1"/>
  <c r="F411" i="7"/>
  <c r="L411" i="7" s="1"/>
  <c r="F410" i="7"/>
  <c r="L410" i="7" s="1"/>
  <c r="F407" i="7"/>
  <c r="F406" i="7"/>
  <c r="L406" i="7" s="1"/>
  <c r="F405" i="7"/>
  <c r="F404" i="7"/>
  <c r="L404" i="7" s="1"/>
  <c r="F403" i="7"/>
  <c r="F402" i="7"/>
  <c r="L402" i="7" s="1"/>
  <c r="F401" i="7"/>
  <c r="L401" i="7" s="1"/>
  <c r="F400" i="7"/>
  <c r="L400" i="7" s="1"/>
  <c r="F397" i="7"/>
  <c r="F394" i="7"/>
  <c r="L394" i="7" s="1"/>
  <c r="F393" i="7"/>
  <c r="F392" i="7"/>
  <c r="L392" i="7" s="1"/>
  <c r="F391" i="7"/>
  <c r="F390" i="7"/>
  <c r="L390" i="7" s="1"/>
  <c r="F386" i="7"/>
  <c r="G386" i="7" s="1"/>
  <c r="F385" i="7"/>
  <c r="G385" i="7" s="1"/>
  <c r="F383" i="7"/>
  <c r="G383" i="7" s="1"/>
  <c r="F381" i="7"/>
  <c r="G381" i="7" s="1"/>
  <c r="F380" i="7"/>
  <c r="G380" i="7" s="1"/>
  <c r="F378" i="7"/>
  <c r="G378" i="7" s="1"/>
  <c r="F377" i="7"/>
  <c r="G377" i="7" s="1"/>
  <c r="F376" i="7"/>
  <c r="G376" i="7" s="1"/>
  <c r="F375" i="7"/>
  <c r="G375" i="7" s="1"/>
  <c r="F374" i="7"/>
  <c r="G374" i="7" s="1"/>
  <c r="F372" i="7"/>
  <c r="G372" i="7" s="1"/>
  <c r="F371" i="7"/>
  <c r="G371" i="7" s="1"/>
  <c r="N371" i="7" s="1"/>
  <c r="F367" i="7"/>
  <c r="L367" i="7" s="1"/>
  <c r="F366" i="7"/>
  <c r="F364" i="7"/>
  <c r="L364" i="7" s="1"/>
  <c r="F363" i="7"/>
  <c r="L363" i="7" s="1"/>
  <c r="F362" i="7"/>
  <c r="F361" i="7"/>
  <c r="F360" i="7"/>
  <c r="L360" i="7" s="1"/>
  <c r="F359" i="7"/>
  <c r="F358" i="7"/>
  <c r="L358" i="7" s="1"/>
  <c r="F356" i="7"/>
  <c r="F355" i="7"/>
  <c r="L355" i="7" s="1"/>
  <c r="F353" i="7"/>
  <c r="L353" i="7" s="1"/>
  <c r="F352" i="7"/>
  <c r="F350" i="7"/>
  <c r="F349" i="7"/>
  <c r="L349" i="7" s="1"/>
  <c r="F348" i="7"/>
  <c r="F347" i="7"/>
  <c r="L347" i="7" s="1"/>
  <c r="F346" i="7"/>
  <c r="F345" i="7"/>
  <c r="L345" i="7" s="1"/>
  <c r="F340" i="7"/>
  <c r="G340" i="7" s="1"/>
  <c r="F338" i="7"/>
  <c r="G338" i="7" s="1"/>
  <c r="F337" i="7"/>
  <c r="G337" i="7" s="1"/>
  <c r="F335" i="7"/>
  <c r="G335" i="7" s="1"/>
  <c r="F334" i="7"/>
  <c r="G334" i="7" s="1"/>
  <c r="F333" i="7"/>
  <c r="G333" i="7" s="1"/>
  <c r="F331" i="7"/>
  <c r="G331" i="7" s="1"/>
  <c r="F330" i="7"/>
  <c r="G330" i="7" s="1"/>
  <c r="F328" i="7"/>
  <c r="G328" i="7" s="1"/>
  <c r="N328" i="7" s="1"/>
  <c r="F327" i="7"/>
  <c r="G327" i="7" s="1"/>
  <c r="F326" i="7"/>
  <c r="G326" i="7" s="1"/>
  <c r="F325" i="7"/>
  <c r="G325" i="7" s="1"/>
  <c r="F323" i="7"/>
  <c r="F321" i="7"/>
  <c r="G321" i="7" s="1"/>
  <c r="F320" i="7"/>
  <c r="G320" i="7" s="1"/>
  <c r="F319" i="7"/>
  <c r="G319" i="7" s="1"/>
  <c r="F318" i="7"/>
  <c r="G318" i="7" s="1"/>
  <c r="F314" i="7"/>
  <c r="F313" i="7"/>
  <c r="F312" i="7"/>
  <c r="L312" i="7" s="1"/>
  <c r="F309" i="7"/>
  <c r="G309" i="7" s="1"/>
  <c r="F308" i="7"/>
  <c r="G308" i="7" s="1"/>
  <c r="F307" i="7"/>
  <c r="G307" i="7" s="1"/>
  <c r="M307" i="7" s="1"/>
  <c r="F306" i="7"/>
  <c r="G306" i="7" s="1"/>
  <c r="F305" i="7"/>
  <c r="G305" i="7" s="1"/>
  <c r="F304" i="7"/>
  <c r="G304" i="7" s="1"/>
  <c r="M304" i="7" s="1"/>
  <c r="F303" i="7"/>
  <c r="G303" i="7" s="1"/>
  <c r="F302" i="7"/>
  <c r="F301" i="7"/>
  <c r="G301" i="7" s="1"/>
  <c r="F300" i="7"/>
  <c r="G300" i="7" s="1"/>
  <c r="F299" i="7"/>
  <c r="G299" i="7" s="1"/>
  <c r="F298" i="7"/>
  <c r="G298" i="7" s="1"/>
  <c r="F297" i="7"/>
  <c r="G297" i="7" s="1"/>
  <c r="F296" i="7"/>
  <c r="G296" i="7" s="1"/>
  <c r="F295" i="7"/>
  <c r="G295" i="7" s="1"/>
  <c r="F294" i="7"/>
  <c r="G294" i="7" s="1"/>
  <c r="F293" i="7"/>
  <c r="G293" i="7" s="1"/>
  <c r="F292" i="7"/>
  <c r="G292" i="7" s="1"/>
  <c r="F291" i="7"/>
  <c r="G291" i="7" s="1"/>
  <c r="F290" i="7"/>
  <c r="G290" i="7" s="1"/>
  <c r="F289" i="7"/>
  <c r="G289" i="7" s="1"/>
  <c r="F288" i="7"/>
  <c r="G288" i="7" s="1"/>
  <c r="F287" i="7"/>
  <c r="G287" i="7" s="1"/>
  <c r="F286" i="7"/>
  <c r="F285" i="7"/>
  <c r="G285" i="7" s="1"/>
  <c r="F284" i="7"/>
  <c r="L284" i="7" s="1"/>
  <c r="F283" i="7"/>
  <c r="L283" i="7" s="1"/>
  <c r="F282" i="7"/>
  <c r="F281" i="7"/>
  <c r="G281" i="7" s="1"/>
  <c r="N281" i="7" s="1"/>
  <c r="F280" i="7"/>
  <c r="G280" i="7" s="1"/>
  <c r="F279" i="7"/>
  <c r="L279" i="7" s="1"/>
  <c r="F278" i="7"/>
  <c r="F277" i="7"/>
  <c r="G277" i="7" s="1"/>
  <c r="F276" i="7"/>
  <c r="G276" i="7" s="1"/>
  <c r="F275" i="7"/>
  <c r="L275" i="7" s="1"/>
  <c r="F274" i="7"/>
  <c r="F273" i="7"/>
  <c r="G273" i="7" s="1"/>
  <c r="F272" i="7"/>
  <c r="L272" i="7" s="1"/>
  <c r="F271" i="7"/>
  <c r="L271" i="7" s="1"/>
  <c r="F270" i="7"/>
  <c r="F269" i="7"/>
  <c r="G269" i="7" s="1"/>
  <c r="F268" i="7"/>
  <c r="L268" i="7" s="1"/>
  <c r="F267" i="7"/>
  <c r="L267" i="7" s="1"/>
  <c r="F266" i="7"/>
  <c r="F265" i="7"/>
  <c r="G265" i="7" s="1"/>
  <c r="F264" i="7"/>
  <c r="L264" i="7" s="1"/>
  <c r="F263" i="7"/>
  <c r="L263" i="7" s="1"/>
  <c r="F262" i="7"/>
  <c r="F261" i="7"/>
  <c r="G261" i="7" s="1"/>
  <c r="F260" i="7"/>
  <c r="G260" i="7" s="1"/>
  <c r="F259" i="7"/>
  <c r="L259" i="7" s="1"/>
  <c r="F258" i="7"/>
  <c r="F257" i="7"/>
  <c r="G257" i="7" s="1"/>
  <c r="F256" i="7"/>
  <c r="L256" i="7" s="1"/>
  <c r="F253" i="7"/>
  <c r="L253" i="7" s="1"/>
  <c r="F252" i="7"/>
  <c r="F251" i="7"/>
  <c r="L251" i="7" s="1"/>
  <c r="F249" i="7"/>
  <c r="L249" i="7" s="1"/>
  <c r="F248" i="7"/>
  <c r="F247" i="7"/>
  <c r="F246" i="7"/>
  <c r="L246" i="7" s="1"/>
  <c r="F244" i="7"/>
  <c r="F243" i="7"/>
  <c r="L243" i="7" s="1"/>
  <c r="F242" i="7"/>
  <c r="F241" i="7"/>
  <c r="L241" i="7" s="1"/>
  <c r="F240" i="7"/>
  <c r="L240" i="7" s="1"/>
  <c r="F239" i="7"/>
  <c r="L239" i="7" s="1"/>
  <c r="F238" i="7"/>
  <c r="F237" i="7"/>
  <c r="L237" i="7" s="1"/>
  <c r="F236" i="7"/>
  <c r="L236" i="7" s="1"/>
  <c r="F235" i="7"/>
  <c r="L235" i="7" s="1"/>
  <c r="F234" i="7"/>
  <c r="F232" i="7"/>
  <c r="L232" i="7" s="1"/>
  <c r="F231" i="7"/>
  <c r="L231" i="7" s="1"/>
  <c r="F230" i="7"/>
  <c r="F229" i="7"/>
  <c r="F228" i="7"/>
  <c r="L228" i="7" s="1"/>
  <c r="F227" i="7"/>
  <c r="F225" i="7"/>
  <c r="L225" i="7" s="1"/>
  <c r="F224" i="7"/>
  <c r="F223" i="7"/>
  <c r="L223" i="7" s="1"/>
  <c r="F222" i="7"/>
  <c r="L222" i="7" s="1"/>
  <c r="F221" i="7"/>
  <c r="L221" i="7" s="1"/>
  <c r="F220" i="7"/>
  <c r="F219" i="7"/>
  <c r="L219" i="7" s="1"/>
  <c r="F218" i="7"/>
  <c r="L218" i="7" s="1"/>
  <c r="F217" i="7"/>
  <c r="L217" i="7" s="1"/>
  <c r="F216" i="7"/>
  <c r="F215" i="7"/>
  <c r="F213" i="7"/>
  <c r="F212" i="7"/>
  <c r="F211" i="7"/>
  <c r="F210" i="7"/>
  <c r="F209" i="7"/>
  <c r="F208" i="7"/>
  <c r="F207" i="7"/>
  <c r="F205" i="7"/>
  <c r="F204" i="7"/>
  <c r="F203" i="7"/>
  <c r="F202" i="7"/>
  <c r="F201" i="7"/>
  <c r="F200" i="7"/>
  <c r="F199" i="7"/>
  <c r="F198" i="7"/>
  <c r="F196" i="7"/>
  <c r="L196" i="7" s="1"/>
  <c r="F195" i="7"/>
  <c r="F194" i="7"/>
  <c r="F193" i="7"/>
  <c r="F192" i="7"/>
  <c r="F187" i="7"/>
  <c r="L187" i="7" s="1"/>
  <c r="F186" i="7"/>
  <c r="L186" i="7" s="1"/>
  <c r="F185" i="7"/>
  <c r="G185" i="7" s="1"/>
  <c r="F184" i="7"/>
  <c r="F183" i="7"/>
  <c r="L183" i="7" s="1"/>
  <c r="F182" i="7"/>
  <c r="L182" i="7" s="1"/>
  <c r="F181" i="7"/>
  <c r="F180" i="7"/>
  <c r="G180" i="7" s="1"/>
  <c r="M180" i="7" s="1"/>
  <c r="F179" i="7"/>
  <c r="L179" i="7" s="1"/>
  <c r="F178" i="7"/>
  <c r="L178" i="7" s="1"/>
  <c r="F177" i="7"/>
  <c r="G177" i="7" s="1"/>
  <c r="F176" i="7"/>
  <c r="L176" i="7" s="1"/>
  <c r="F175" i="7"/>
  <c r="L175" i="7" s="1"/>
  <c r="F174" i="7"/>
  <c r="L174" i="7" s="1"/>
  <c r="F173" i="7"/>
  <c r="G173" i="7" s="1"/>
  <c r="F172" i="7"/>
  <c r="L172" i="7" s="1"/>
  <c r="F171" i="7"/>
  <c r="L171" i="7" s="1"/>
  <c r="F170" i="7"/>
  <c r="L170" i="7" s="1"/>
  <c r="F169" i="7"/>
  <c r="G169" i="7" s="1"/>
  <c r="F168" i="7"/>
  <c r="L168" i="7" s="1"/>
  <c r="F167" i="7"/>
  <c r="L167" i="7" s="1"/>
  <c r="F164" i="7"/>
  <c r="F163" i="7"/>
  <c r="F162" i="7"/>
  <c r="F160" i="7"/>
  <c r="F159" i="7"/>
  <c r="F157" i="7"/>
  <c r="F155" i="7"/>
  <c r="F154" i="7"/>
  <c r="F153" i="7"/>
  <c r="F149" i="7"/>
  <c r="L149" i="7" s="1"/>
  <c r="F148" i="7"/>
  <c r="L148" i="7" s="1"/>
  <c r="F147" i="7"/>
  <c r="G147" i="7" s="1"/>
  <c r="F146" i="7"/>
  <c r="L146" i="7" s="1"/>
  <c r="F143" i="7"/>
  <c r="F142" i="7"/>
  <c r="F141" i="7"/>
  <c r="L141" i="7" s="1"/>
  <c r="F140" i="7"/>
  <c r="F139" i="7"/>
  <c r="L139" i="7" s="1"/>
  <c r="F138" i="7"/>
  <c r="F137" i="7"/>
  <c r="L137" i="7" s="1"/>
  <c r="F133" i="7"/>
  <c r="F132" i="7"/>
  <c r="F131" i="7"/>
  <c r="L131" i="7" s="1"/>
  <c r="F130" i="7"/>
  <c r="F126" i="7"/>
  <c r="L126" i="7" s="1"/>
  <c r="F124" i="7"/>
  <c r="L124" i="7" s="1"/>
  <c r="F123" i="7"/>
  <c r="G123" i="7" s="1"/>
  <c r="F122" i="7"/>
  <c r="L122" i="7" s="1"/>
  <c r="F117" i="7"/>
  <c r="F116" i="7"/>
  <c r="L116" i="7" s="1"/>
  <c r="F115" i="7"/>
  <c r="F112" i="7"/>
  <c r="L112" i="7" s="1"/>
  <c r="F111" i="7"/>
  <c r="L111" i="7" s="1"/>
  <c r="F110" i="7"/>
  <c r="G110" i="7" s="1"/>
  <c r="F109" i="7"/>
  <c r="G109" i="7" s="1"/>
  <c r="F108" i="7"/>
  <c r="L108" i="7" s="1"/>
  <c r="F107" i="7"/>
  <c r="L107" i="7" s="1"/>
  <c r="F104" i="7"/>
  <c r="F103" i="7"/>
  <c r="L103" i="7" s="1"/>
  <c r="F99" i="7"/>
  <c r="L99" i="7" s="1"/>
  <c r="F98" i="7"/>
  <c r="F97" i="7"/>
  <c r="L97" i="7" s="1"/>
  <c r="F95" i="7"/>
  <c r="F94" i="7"/>
  <c r="L94" i="7" s="1"/>
  <c r="F93" i="7"/>
  <c r="F92" i="7"/>
  <c r="F91" i="7"/>
  <c r="F90" i="7"/>
  <c r="L90" i="7" s="1"/>
  <c r="F89" i="7"/>
  <c r="F88" i="7"/>
  <c r="L88" i="7" s="1"/>
  <c r="F87" i="7"/>
  <c r="F86" i="7"/>
  <c r="L86" i="7" s="1"/>
  <c r="F85" i="7"/>
  <c r="F84" i="7"/>
  <c r="L84" i="7" s="1"/>
  <c r="F83" i="7"/>
  <c r="F82" i="7"/>
  <c r="L82" i="7" s="1"/>
  <c r="F81" i="7"/>
  <c r="F80" i="7"/>
  <c r="L80" i="7" s="1"/>
  <c r="F79" i="7"/>
  <c r="F78" i="7"/>
  <c r="L78" i="7" s="1"/>
  <c r="F77" i="7"/>
  <c r="F76" i="7"/>
  <c r="L76" i="7" s="1"/>
  <c r="F74" i="7"/>
  <c r="F70" i="7"/>
  <c r="G70" i="7" s="1"/>
  <c r="H70" i="7" s="1"/>
  <c r="F69" i="7"/>
  <c r="G69" i="7" s="1"/>
  <c r="M69" i="7" s="1"/>
  <c r="F68" i="7"/>
  <c r="G68" i="7" s="1"/>
  <c r="F67" i="7"/>
  <c r="G67" i="7" s="1"/>
  <c r="F66" i="7"/>
  <c r="G66" i="7" s="1"/>
  <c r="H66" i="7" s="1"/>
  <c r="F65" i="7"/>
  <c r="G65" i="7" s="1"/>
  <c r="F64" i="7"/>
  <c r="G64" i="7" s="1"/>
  <c r="H64" i="7" s="1"/>
  <c r="F60" i="7"/>
  <c r="G60" i="7" s="1"/>
  <c r="J60" i="7"/>
  <c r="F59" i="7"/>
  <c r="L59" i="7" s="1"/>
  <c r="J59" i="7"/>
  <c r="F58" i="7"/>
  <c r="L58" i="7" s="1"/>
  <c r="J58" i="7"/>
  <c r="F57" i="7"/>
  <c r="G57" i="7" s="1"/>
  <c r="M57" i="7" s="1"/>
  <c r="J57" i="7"/>
  <c r="F56" i="7"/>
  <c r="G56" i="7" s="1"/>
  <c r="M56" i="7" s="1"/>
  <c r="J56" i="7"/>
  <c r="F55" i="7"/>
  <c r="G55" i="7" s="1"/>
  <c r="M55" i="7" s="1"/>
  <c r="J55" i="7"/>
  <c r="F54" i="7"/>
  <c r="G54" i="7" s="1"/>
  <c r="M54" i="7" s="1"/>
  <c r="J54" i="7"/>
  <c r="F50" i="7"/>
  <c r="L50" i="7" s="1"/>
  <c r="F49" i="7"/>
  <c r="F48" i="7"/>
  <c r="L48" i="7" s="1"/>
  <c r="F47" i="7"/>
  <c r="L47" i="7" s="1"/>
  <c r="F45" i="7"/>
  <c r="G45" i="7" s="1"/>
  <c r="H45" i="7" s="1"/>
  <c r="F44" i="7"/>
  <c r="L44" i="7" s="1"/>
  <c r="F43" i="7"/>
  <c r="L43" i="7" s="1"/>
  <c r="F42" i="7"/>
  <c r="L42" i="7" s="1"/>
  <c r="F40" i="7"/>
  <c r="G40" i="7" s="1"/>
  <c r="M40" i="7" s="1"/>
  <c r="J40" i="7"/>
  <c r="F39" i="7"/>
  <c r="G39" i="7" s="1"/>
  <c r="M39" i="7" s="1"/>
  <c r="J39" i="7"/>
  <c r="F38" i="7"/>
  <c r="G38" i="7" s="1"/>
  <c r="J38" i="7"/>
  <c r="F37" i="7"/>
  <c r="G37" i="7" s="1"/>
  <c r="M37" i="7" s="1"/>
  <c r="J37" i="7"/>
  <c r="F35" i="7"/>
  <c r="G35" i="7" s="1"/>
  <c r="J35" i="7"/>
  <c r="F34" i="7"/>
  <c r="L34" i="7" s="1"/>
  <c r="J34" i="7"/>
  <c r="F33" i="7"/>
  <c r="L33" i="7" s="1"/>
  <c r="J33" i="7"/>
  <c r="F32" i="7"/>
  <c r="L32" i="7" s="1"/>
  <c r="J32" i="7"/>
  <c r="F28" i="7"/>
  <c r="G28" i="7" s="1"/>
  <c r="H28" i="7" s="1"/>
  <c r="O28" i="7" s="1"/>
  <c r="F27" i="7"/>
  <c r="G27" i="7" s="1"/>
  <c r="H27" i="7" s="1"/>
  <c r="O27" i="7" s="1"/>
  <c r="F26" i="7"/>
  <c r="G26" i="7" s="1"/>
  <c r="H26" i="7" s="1"/>
  <c r="O26" i="7" s="1"/>
  <c r="F25" i="7"/>
  <c r="G25" i="7" s="1"/>
  <c r="H25" i="7" s="1"/>
  <c r="O25" i="7" s="1"/>
  <c r="F23" i="7"/>
  <c r="L23" i="7" s="1"/>
  <c r="J23" i="7"/>
  <c r="F22" i="7"/>
  <c r="G22" i="7" s="1"/>
  <c r="H22" i="7" s="1"/>
  <c r="O22" i="7" s="1"/>
  <c r="F21" i="7"/>
  <c r="G21" i="7" s="1"/>
  <c r="H21" i="7" s="1"/>
  <c r="O21" i="7" s="1"/>
  <c r="F20" i="7"/>
  <c r="G20" i="7" s="1"/>
  <c r="H20" i="7" s="1"/>
  <c r="O20" i="7" s="1"/>
  <c r="F16" i="7"/>
  <c r="G16" i="7" s="1"/>
  <c r="M16" i="7" s="1"/>
  <c r="J16" i="7"/>
  <c r="F15" i="7"/>
  <c r="G15" i="7" s="1"/>
  <c r="H15" i="7" s="1"/>
  <c r="J15" i="7"/>
  <c r="F14" i="7"/>
  <c r="G14" i="7" s="1"/>
  <c r="M14" i="7" s="1"/>
  <c r="J14" i="7"/>
  <c r="F13" i="7"/>
  <c r="G13" i="7" s="1"/>
  <c r="M13" i="7" s="1"/>
  <c r="J13" i="7"/>
  <c r="H579" i="8" l="1"/>
  <c r="N200" i="8"/>
  <c r="M600" i="8"/>
  <c r="P609" i="8"/>
  <c r="M579" i="8"/>
  <c r="M464" i="8"/>
  <c r="N249" i="8"/>
  <c r="H179" i="8"/>
  <c r="O179" i="8" s="1"/>
  <c r="O552" i="8"/>
  <c r="H502" i="8"/>
  <c r="H442" i="8"/>
  <c r="N391" i="8"/>
  <c r="N298" i="8"/>
  <c r="P626" i="8"/>
  <c r="H460" i="8"/>
  <c r="H508" i="8"/>
  <c r="P508" i="8" s="1"/>
  <c r="N460" i="8"/>
  <c r="M137" i="8"/>
  <c r="M547" i="8"/>
  <c r="M508" i="8"/>
  <c r="N380" i="8"/>
  <c r="H210" i="8"/>
  <c r="M215" i="8"/>
  <c r="H181" i="8"/>
  <c r="O181" i="8" s="1"/>
  <c r="H717" i="8"/>
  <c r="H747" i="8"/>
  <c r="N499" i="8"/>
  <c r="M523" i="8"/>
  <c r="H591" i="8"/>
  <c r="P591" i="8" s="1"/>
  <c r="N525" i="8"/>
  <c r="O525" i="8" s="1"/>
  <c r="H295" i="8"/>
  <c r="N747" i="8"/>
  <c r="H551" i="8"/>
  <c r="P551" i="8" s="1"/>
  <c r="H600" i="8"/>
  <c r="P600" i="8" s="1"/>
  <c r="H464" i="8"/>
  <c r="H445" i="8"/>
  <c r="P445" i="8" s="1"/>
  <c r="N502" i="8"/>
  <c r="M445" i="8"/>
  <c r="H515" i="8"/>
  <c r="M682" i="8"/>
  <c r="H500" i="8"/>
  <c r="M436" i="8"/>
  <c r="H411" i="8"/>
  <c r="N394" i="8"/>
  <c r="O394" i="8" s="1"/>
  <c r="H305" i="8"/>
  <c r="H287" i="8"/>
  <c r="H249" i="8"/>
  <c r="H209" i="8"/>
  <c r="H514" i="8"/>
  <c r="N500" i="8"/>
  <c r="M482" i="8"/>
  <c r="H428" i="8"/>
  <c r="H429" i="8" s="1"/>
  <c r="N411" i="8"/>
  <c r="N412" i="8" s="1"/>
  <c r="N305" i="8"/>
  <c r="N335" i="8"/>
  <c r="N299" i="8"/>
  <c r="N209" i="8"/>
  <c r="N456" i="8"/>
  <c r="N92" i="8"/>
  <c r="H605" i="8"/>
  <c r="M553" i="8"/>
  <c r="H456" i="8"/>
  <c r="O456" i="8" s="1"/>
  <c r="M649" i="8"/>
  <c r="H526" i="8"/>
  <c r="P730" i="8"/>
  <c r="P672" i="8"/>
  <c r="H553" i="8"/>
  <c r="N605" i="8"/>
  <c r="P605" i="8" s="1"/>
  <c r="H503" i="8"/>
  <c r="H470" i="8"/>
  <c r="P470" i="8" s="1"/>
  <c r="H455" i="8"/>
  <c r="O455" i="8" s="1"/>
  <c r="N526" i="8"/>
  <c r="P526" i="8" s="1"/>
  <c r="H482" i="8"/>
  <c r="H484" i="8" s="1"/>
  <c r="N514" i="8"/>
  <c r="M442" i="8"/>
  <c r="N428" i="8"/>
  <c r="N429" i="8" s="1"/>
  <c r="H391" i="8"/>
  <c r="H401" i="8"/>
  <c r="P401" i="8" s="1"/>
  <c r="H298" i="8"/>
  <c r="H200" i="8"/>
  <c r="P200" i="8" s="1"/>
  <c r="N163" i="8"/>
  <c r="O163" i="8" s="1"/>
  <c r="H137" i="8"/>
  <c r="P137" i="8" s="1"/>
  <c r="H123" i="8"/>
  <c r="O56" i="8"/>
  <c r="P754" i="8"/>
  <c r="H768" i="8"/>
  <c r="H380" i="8"/>
  <c r="N295" i="8"/>
  <c r="O295" i="8" s="1"/>
  <c r="H110" i="8"/>
  <c r="H741" i="8"/>
  <c r="P741" i="8" s="1"/>
  <c r="H708" i="8"/>
  <c r="M676" i="8"/>
  <c r="M551" i="8"/>
  <c r="M515" i="8"/>
  <c r="M519" i="8"/>
  <c r="M471" i="8"/>
  <c r="H577" i="8"/>
  <c r="P577" i="8" s="1"/>
  <c r="M402" i="8"/>
  <c r="H403" i="8"/>
  <c r="H418" i="8"/>
  <c r="N402" i="8"/>
  <c r="P402" i="8" s="1"/>
  <c r="H431" i="8"/>
  <c r="H432" i="8" s="1"/>
  <c r="N386" i="8"/>
  <c r="N340" i="8"/>
  <c r="L315" i="8"/>
  <c r="N304" i="8"/>
  <c r="M181" i="8"/>
  <c r="M163" i="8"/>
  <c r="H175" i="8"/>
  <c r="P175" i="8" s="1"/>
  <c r="H133" i="8"/>
  <c r="P133" i="8" s="1"/>
  <c r="N109" i="8"/>
  <c r="M98" i="8"/>
  <c r="N603" i="8"/>
  <c r="H304" i="8"/>
  <c r="O304" i="8" s="1"/>
  <c r="P56" i="8"/>
  <c r="N453" i="8"/>
  <c r="N704" i="8"/>
  <c r="P704" i="8" s="1"/>
  <c r="P669" i="8"/>
  <c r="M604" i="8"/>
  <c r="P674" i="8"/>
  <c r="H587" i="8"/>
  <c r="N682" i="8"/>
  <c r="P682" i="8" s="1"/>
  <c r="M741" i="8"/>
  <c r="N708" i="8"/>
  <c r="H602" i="8"/>
  <c r="O602" i="8" s="1"/>
  <c r="H547" i="8"/>
  <c r="P547" i="8" s="1"/>
  <c r="N665" i="8"/>
  <c r="H659" i="8"/>
  <c r="M549" i="8"/>
  <c r="M591" i="8"/>
  <c r="N587" i="8"/>
  <c r="M525" i="8"/>
  <c r="H499" i="8"/>
  <c r="N488" i="8"/>
  <c r="H516" i="8"/>
  <c r="P516" i="8" s="1"/>
  <c r="M459" i="8"/>
  <c r="H519" i="8"/>
  <c r="O519" i="8" s="1"/>
  <c r="L492" i="8"/>
  <c r="M406" i="8"/>
  <c r="M394" i="8"/>
  <c r="H415" i="8"/>
  <c r="M401" i="8"/>
  <c r="H421" i="8"/>
  <c r="P381" i="8"/>
  <c r="N326" i="8"/>
  <c r="P326" i="8" s="1"/>
  <c r="H300" i="8"/>
  <c r="P300" i="8" s="1"/>
  <c r="N291" i="8"/>
  <c r="P291" i="8" s="1"/>
  <c r="N253" i="8"/>
  <c r="M179" i="8"/>
  <c r="N203" i="8"/>
  <c r="P203" i="8" s="1"/>
  <c r="H109" i="8"/>
  <c r="O109" i="8" s="1"/>
  <c r="N168" i="8"/>
  <c r="O168" i="8" s="1"/>
  <c r="L556" i="8"/>
  <c r="N87" i="8"/>
  <c r="O87" i="8" s="1"/>
  <c r="H97" i="8"/>
  <c r="H88" i="8"/>
  <c r="L150" i="8"/>
  <c r="M742" i="8"/>
  <c r="H719" i="8"/>
  <c r="M774" i="8"/>
  <c r="P698" i="8"/>
  <c r="H670" i="8"/>
  <c r="N664" i="8"/>
  <c r="P664" i="8" s="1"/>
  <c r="N659" i="8"/>
  <c r="P659" i="8" s="1"/>
  <c r="M550" i="8"/>
  <c r="M546" i="8"/>
  <c r="H604" i="8"/>
  <c r="P604" i="8" s="1"/>
  <c r="N503" i="8"/>
  <c r="H450" i="8"/>
  <c r="P450" i="8" s="1"/>
  <c r="H649" i="8"/>
  <c r="P649" i="8" s="1"/>
  <c r="M576" i="8"/>
  <c r="M470" i="8"/>
  <c r="M450" i="8"/>
  <c r="H576" i="8"/>
  <c r="P576" i="8" s="1"/>
  <c r="M421" i="8"/>
  <c r="N403" i="8"/>
  <c r="P403" i="8" s="1"/>
  <c r="H340" i="8"/>
  <c r="H286" i="8"/>
  <c r="M335" i="8"/>
  <c r="M341" i="8" s="1"/>
  <c r="H330" i="8"/>
  <c r="H325" i="8"/>
  <c r="H319" i="8"/>
  <c r="N251" i="8"/>
  <c r="P284" i="8"/>
  <c r="P268" i="8"/>
  <c r="M216" i="8"/>
  <c r="N130" i="8"/>
  <c r="N180" i="8"/>
  <c r="P180" i="8" s="1"/>
  <c r="N449" i="8"/>
  <c r="H223" i="8"/>
  <c r="H140" i="8"/>
  <c r="N425" i="8"/>
  <c r="N426" i="8" s="1"/>
  <c r="N719" i="8"/>
  <c r="H774" i="8"/>
  <c r="O774" i="8" s="1"/>
  <c r="H746" i="8"/>
  <c r="H706" i="8"/>
  <c r="N670" i="8"/>
  <c r="H467" i="8"/>
  <c r="O467" i="8" s="1"/>
  <c r="H449" i="8"/>
  <c r="M580" i="8"/>
  <c r="M461" i="8"/>
  <c r="H580" i="8"/>
  <c r="O580" i="8" s="1"/>
  <c r="M417" i="8"/>
  <c r="H407" i="8"/>
  <c r="N435" i="8"/>
  <c r="P435" i="8" s="1"/>
  <c r="H417" i="8"/>
  <c r="O417" i="8" s="1"/>
  <c r="H397" i="8"/>
  <c r="O397" i="8" s="1"/>
  <c r="O398" i="8" s="1"/>
  <c r="H294" i="8"/>
  <c r="N286" i="8"/>
  <c r="N334" i="8"/>
  <c r="N330" i="8"/>
  <c r="N325" i="8"/>
  <c r="N319" i="8"/>
  <c r="H308" i="8"/>
  <c r="N303" i="8"/>
  <c r="H251" i="8"/>
  <c r="M180" i="8"/>
  <c r="H130" i="8"/>
  <c r="H134" i="8" s="1"/>
  <c r="N111" i="8"/>
  <c r="N216" i="8"/>
  <c r="P216" i="8" s="1"/>
  <c r="N97" i="8"/>
  <c r="L583" i="8"/>
  <c r="N223" i="8"/>
  <c r="N140" i="8"/>
  <c r="H742" i="8"/>
  <c r="P742" i="8" s="1"/>
  <c r="N746" i="8"/>
  <c r="P746" i="8" s="1"/>
  <c r="N706" i="8"/>
  <c r="H550" i="8"/>
  <c r="O550" i="8" s="1"/>
  <c r="H546" i="8"/>
  <c r="O546" i="8" s="1"/>
  <c r="H471" i="8"/>
  <c r="O471" i="8" s="1"/>
  <c r="H466" i="8"/>
  <c r="P466" i="8" s="1"/>
  <c r="H453" i="8"/>
  <c r="O453" i="8" s="1"/>
  <c r="M466" i="8"/>
  <c r="H425" i="8"/>
  <c r="N407" i="8"/>
  <c r="M397" i="8"/>
  <c r="M398" i="8" s="1"/>
  <c r="N294" i="8"/>
  <c r="N308" i="8"/>
  <c r="P308" i="8" s="1"/>
  <c r="H299" i="8"/>
  <c r="N246" i="8"/>
  <c r="O246" i="8" s="1"/>
  <c r="M183" i="8"/>
  <c r="M167" i="8"/>
  <c r="M184" i="8"/>
  <c r="M168" i="8"/>
  <c r="N110" i="8"/>
  <c r="P110" i="8" s="1"/>
  <c r="N184" i="8"/>
  <c r="O184" i="8" s="1"/>
  <c r="L511" i="8"/>
  <c r="N142" i="8"/>
  <c r="H296" i="8"/>
  <c r="N287" i="8"/>
  <c r="P287" i="8" s="1"/>
  <c r="M104" i="8"/>
  <c r="H104" i="8"/>
  <c r="P104" i="8" s="1"/>
  <c r="N296" i="8"/>
  <c r="N297" i="8"/>
  <c r="P297" i="8" s="1"/>
  <c r="N323" i="8"/>
  <c r="P295" i="8"/>
  <c r="H253" i="8"/>
  <c r="P283" i="8"/>
  <c r="P267" i="8"/>
  <c r="N192" i="8"/>
  <c r="H213" i="8"/>
  <c r="H204" i="8"/>
  <c r="H195" i="8"/>
  <c r="H111" i="8"/>
  <c r="L113" i="8"/>
  <c r="N293" i="8"/>
  <c r="H288" i="8"/>
  <c r="N213" i="8"/>
  <c r="N204" i="8"/>
  <c r="N195" i="8"/>
  <c r="H58" i="8"/>
  <c r="P58" i="8" s="1"/>
  <c r="N108" i="8"/>
  <c r="N81" i="8"/>
  <c r="H82" i="8"/>
  <c r="O82" i="8" s="1"/>
  <c r="N288" i="8"/>
  <c r="P288" i="8" s="1"/>
  <c r="H196" i="8"/>
  <c r="O196" i="8" s="1"/>
  <c r="M175" i="8"/>
  <c r="H148" i="8"/>
  <c r="N132" i="8"/>
  <c r="O132" i="8" s="1"/>
  <c r="N107" i="8"/>
  <c r="O107" i="8" s="1"/>
  <c r="N15" i="8"/>
  <c r="O15" i="8" s="1"/>
  <c r="H81" i="8"/>
  <c r="M720" i="8"/>
  <c r="P535" i="8"/>
  <c r="L144" i="8"/>
  <c r="P699" i="8"/>
  <c r="P639" i="8"/>
  <c r="O750" i="8"/>
  <c r="P750" i="8"/>
  <c r="O786" i="8"/>
  <c r="O698" i="8"/>
  <c r="H794" i="8"/>
  <c r="P794" i="8" s="1"/>
  <c r="H759" i="8"/>
  <c r="N733" i="8"/>
  <c r="O733" i="8" s="1"/>
  <c r="N717" i="8"/>
  <c r="N705" i="8"/>
  <c r="P705" i="8" s="1"/>
  <c r="N768" i="8"/>
  <c r="H545" i="8"/>
  <c r="P545" i="8" s="1"/>
  <c r="H678" i="8"/>
  <c r="P678" i="8" s="1"/>
  <c r="H662" i="8"/>
  <c r="P629" i="8"/>
  <c r="M648" i="8"/>
  <c r="M509" i="8"/>
  <c r="H448" i="8"/>
  <c r="M577" i="8"/>
  <c r="M454" i="8"/>
  <c r="H520" i="8"/>
  <c r="P520" i="8" s="1"/>
  <c r="N490" i="8"/>
  <c r="P490" i="8" s="1"/>
  <c r="H443" i="8"/>
  <c r="O443" i="8" s="1"/>
  <c r="H581" i="8"/>
  <c r="N489" i="8"/>
  <c r="O489" i="8" s="1"/>
  <c r="M443" i="8"/>
  <c r="M435" i="8"/>
  <c r="H400" i="8"/>
  <c r="N415" i="8"/>
  <c r="H377" i="8"/>
  <c r="O377" i="8" s="1"/>
  <c r="H436" i="8"/>
  <c r="H434" i="8"/>
  <c r="P434" i="8" s="1"/>
  <c r="H386" i="8"/>
  <c r="H306" i="8"/>
  <c r="H289" i="8"/>
  <c r="H328" i="8"/>
  <c r="H318" i="8"/>
  <c r="P312" i="8"/>
  <c r="N252" i="8"/>
  <c r="N247" i="8"/>
  <c r="H205" i="8"/>
  <c r="M173" i="8"/>
  <c r="M172" i="8"/>
  <c r="N112" i="8"/>
  <c r="N217" i="8"/>
  <c r="P217" i="8" s="1"/>
  <c r="L473" i="8"/>
  <c r="H138" i="8"/>
  <c r="P138" i="8" s="1"/>
  <c r="H94" i="8"/>
  <c r="O94" i="8" s="1"/>
  <c r="H92" i="8"/>
  <c r="H50" i="8"/>
  <c r="N50" i="8"/>
  <c r="M794" i="8"/>
  <c r="M795" i="8" s="1"/>
  <c r="H767" i="8"/>
  <c r="N759" i="8"/>
  <c r="O759" i="8" s="1"/>
  <c r="H734" i="8"/>
  <c r="M678" i="8"/>
  <c r="N662" i="8"/>
  <c r="H648" i="8"/>
  <c r="P648" i="8" s="1"/>
  <c r="M520" i="8"/>
  <c r="H447" i="8"/>
  <c r="O447" i="8" s="1"/>
  <c r="M504" i="8"/>
  <c r="M447" i="8"/>
  <c r="M603" i="8"/>
  <c r="M606" i="8" s="1"/>
  <c r="M434" i="8"/>
  <c r="P416" i="8"/>
  <c r="N400" i="8"/>
  <c r="M390" i="8"/>
  <c r="P477" i="8"/>
  <c r="H390" i="8"/>
  <c r="O390" i="8" s="1"/>
  <c r="M377" i="8"/>
  <c r="N306" i="8"/>
  <c r="P331" i="8"/>
  <c r="N328" i="8"/>
  <c r="P320" i="8"/>
  <c r="N318" i="8"/>
  <c r="H307" i="8"/>
  <c r="H252" i="8"/>
  <c r="H247" i="8"/>
  <c r="N205" i="8"/>
  <c r="M171" i="8"/>
  <c r="P282" i="8"/>
  <c r="P266" i="8"/>
  <c r="P212" i="8"/>
  <c r="P194" i="8"/>
  <c r="P280" i="8"/>
  <c r="P232" i="8"/>
  <c r="M217" i="8"/>
  <c r="H187" i="8"/>
  <c r="O187" i="8" s="1"/>
  <c r="H171" i="8"/>
  <c r="P171" i="8" s="1"/>
  <c r="N149" i="8"/>
  <c r="H112" i="8"/>
  <c r="H646" i="8"/>
  <c r="H215" i="8"/>
  <c r="M94" i="8"/>
  <c r="M49" i="8"/>
  <c r="N49" i="8"/>
  <c r="N767" i="8"/>
  <c r="N734" i="8"/>
  <c r="H555" i="8"/>
  <c r="O555" i="8" s="1"/>
  <c r="H665" i="8"/>
  <c r="P665" i="8" s="1"/>
  <c r="H518" i="8"/>
  <c r="H393" i="8"/>
  <c r="N338" i="8"/>
  <c r="H302" i="8"/>
  <c r="P302" i="8" s="1"/>
  <c r="H293" i="8"/>
  <c r="H334" i="8"/>
  <c r="H323" i="8"/>
  <c r="N307" i="8"/>
  <c r="H201" i="8"/>
  <c r="P201" i="8" s="1"/>
  <c r="H192" i="8"/>
  <c r="M187" i="8"/>
  <c r="H149" i="8"/>
  <c r="O644" i="8"/>
  <c r="H98" i="8"/>
  <c r="P98" i="8" s="1"/>
  <c r="M40" i="8"/>
  <c r="H40" i="8"/>
  <c r="O609" i="8"/>
  <c r="O173" i="8"/>
  <c r="O554" i="8"/>
  <c r="O589" i="8"/>
  <c r="M666" i="8"/>
  <c r="O785" i="8"/>
  <c r="O468" i="8"/>
  <c r="O533" i="8"/>
  <c r="P655" i="8"/>
  <c r="M655" i="8"/>
  <c r="M656" i="8" s="1"/>
  <c r="P595" i="8"/>
  <c r="M555" i="8"/>
  <c r="N518" i="8"/>
  <c r="M501" i="8"/>
  <c r="L497" i="8"/>
  <c r="H451" i="8"/>
  <c r="O451" i="8" s="1"/>
  <c r="M582" i="8"/>
  <c r="P531" i="8"/>
  <c r="H521" i="8"/>
  <c r="H491" i="8"/>
  <c r="M651" i="8"/>
  <c r="P592" i="8"/>
  <c r="N581" i="8"/>
  <c r="N583" i="8" s="1"/>
  <c r="P529" i="8"/>
  <c r="M422" i="8"/>
  <c r="M405" i="8"/>
  <c r="N418" i="8"/>
  <c r="N431" i="8"/>
  <c r="P431" i="8" s="1"/>
  <c r="N393" i="8"/>
  <c r="N375" i="8"/>
  <c r="H338" i="8"/>
  <c r="H290" i="8"/>
  <c r="P290" i="8" s="1"/>
  <c r="P314" i="8"/>
  <c r="N289" i="8"/>
  <c r="O289" i="8" s="1"/>
  <c r="H333" i="8"/>
  <c r="H327" i="8"/>
  <c r="H321" i="8"/>
  <c r="N292" i="8"/>
  <c r="O292" i="8" s="1"/>
  <c r="P249" i="8"/>
  <c r="N210" i="8"/>
  <c r="M177" i="8"/>
  <c r="H208" i="8"/>
  <c r="H199" i="8"/>
  <c r="N147" i="8"/>
  <c r="P131" i="8"/>
  <c r="H108" i="8"/>
  <c r="P108" i="8" s="1"/>
  <c r="N176" i="8"/>
  <c r="O176" i="8" s="1"/>
  <c r="N448" i="8"/>
  <c r="N177" i="8"/>
  <c r="O177" i="8" s="1"/>
  <c r="H142" i="8"/>
  <c r="H49" i="8"/>
  <c r="H707" i="8"/>
  <c r="H703" i="8"/>
  <c r="H459" i="8"/>
  <c r="P459" i="8" s="1"/>
  <c r="H454" i="8"/>
  <c r="P454" i="8" s="1"/>
  <c r="N521" i="8"/>
  <c r="H506" i="8"/>
  <c r="N491" i="8"/>
  <c r="M467" i="8"/>
  <c r="H651" i="8"/>
  <c r="P651" i="8" s="1"/>
  <c r="H504" i="8"/>
  <c r="P504" i="8" s="1"/>
  <c r="H437" i="8"/>
  <c r="P437" i="8" s="1"/>
  <c r="H422" i="8"/>
  <c r="P422" i="8" s="1"/>
  <c r="H375" i="8"/>
  <c r="N337" i="8"/>
  <c r="H301" i="8"/>
  <c r="N333" i="8"/>
  <c r="N327" i="8"/>
  <c r="N321" i="8"/>
  <c r="N208" i="8"/>
  <c r="N199" i="8"/>
  <c r="H162" i="8"/>
  <c r="O162" i="8" s="1"/>
  <c r="H147" i="8"/>
  <c r="P640" i="8"/>
  <c r="L527" i="8"/>
  <c r="L134" i="8"/>
  <c r="M113" i="8"/>
  <c r="H99" i="8"/>
  <c r="P99" i="8" s="1"/>
  <c r="P789" i="8"/>
  <c r="P770" i="8"/>
  <c r="P744" i="8"/>
  <c r="P732" i="8"/>
  <c r="P727" i="8"/>
  <c r="P723" i="8"/>
  <c r="P718" i="8"/>
  <c r="P774" i="8"/>
  <c r="P709" i="8"/>
  <c r="N707" i="8"/>
  <c r="N703" i="8"/>
  <c r="P725" i="8"/>
  <c r="P602" i="8"/>
  <c r="P660" i="8"/>
  <c r="P658" i="8"/>
  <c r="P621" i="8"/>
  <c r="H601" i="8"/>
  <c r="P601" i="8" s="1"/>
  <c r="M545" i="8"/>
  <c r="P622" i="8"/>
  <c r="H488" i="8"/>
  <c r="H510" i="8"/>
  <c r="P510" i="8" s="1"/>
  <c r="N506" i="8"/>
  <c r="M489" i="8"/>
  <c r="M455" i="8"/>
  <c r="M451" i="8"/>
  <c r="P523" i="8"/>
  <c r="M437" i="8"/>
  <c r="H337" i="8"/>
  <c r="P309" i="8"/>
  <c r="N301" i="8"/>
  <c r="P371" i="8"/>
  <c r="H303" i="8"/>
  <c r="M176" i="8"/>
  <c r="N148" i="8"/>
  <c r="N146" i="8"/>
  <c r="P146" i="8" s="1"/>
  <c r="N88" i="8"/>
  <c r="M162" i="8"/>
  <c r="P787" i="8"/>
  <c r="P788" i="8"/>
  <c r="P778" i="8"/>
  <c r="P728" i="8"/>
  <c r="P695" i="8"/>
  <c r="P613" i="8"/>
  <c r="P617" i="8"/>
  <c r="L812" i="8"/>
  <c r="L818" i="8" s="1"/>
  <c r="P786" i="8"/>
  <c r="P765" i="8"/>
  <c r="O629" i="8"/>
  <c r="P610" i="8"/>
  <c r="P782" i="8"/>
  <c r="P735" i="8"/>
  <c r="P724" i="8"/>
  <c r="P632" i="8"/>
  <c r="P628" i="8"/>
  <c r="P624" i="8"/>
  <c r="P663" i="8"/>
  <c r="P661" i="8"/>
  <c r="P630" i="8"/>
  <c r="P507" i="8"/>
  <c r="P573" i="8"/>
  <c r="P569" i="8"/>
  <c r="P565" i="8"/>
  <c r="P561" i="8"/>
  <c r="P525" i="8"/>
  <c r="P515" i="8"/>
  <c r="P505" i="8"/>
  <c r="P585" i="8"/>
  <c r="P579" i="8"/>
  <c r="P404" i="8"/>
  <c r="P479" i="8"/>
  <c r="P438" i="8"/>
  <c r="P436" i="8"/>
  <c r="P410" i="8"/>
  <c r="P335" i="8"/>
  <c r="P270" i="8"/>
  <c r="P273" i="8"/>
  <c r="P271" i="8"/>
  <c r="P285" i="8"/>
  <c r="P269" i="8"/>
  <c r="P64" i="8"/>
  <c r="P752" i="8"/>
  <c r="P544" i="8"/>
  <c r="P372" i="8"/>
  <c r="P461" i="8"/>
  <c r="P181" i="8"/>
  <c r="H27" i="8"/>
  <c r="M27" i="8"/>
  <c r="N27" i="8"/>
  <c r="H20" i="8"/>
  <c r="M20" i="8"/>
  <c r="N20" i="8"/>
  <c r="P483" i="8"/>
  <c r="P654" i="8"/>
  <c r="P618" i="8"/>
  <c r="O531" i="8"/>
  <c r="P522" i="8"/>
  <c r="P572" i="8"/>
  <c r="P568" i="8"/>
  <c r="P564" i="8"/>
  <c r="P560" i="8"/>
  <c r="P541" i="8"/>
  <c r="P494" i="8"/>
  <c r="P478" i="8"/>
  <c r="P376" i="8"/>
  <c r="P298" i="8"/>
  <c r="P275" i="8"/>
  <c r="P276" i="8"/>
  <c r="P274" i="8"/>
  <c r="P227" i="8"/>
  <c r="P272" i="8"/>
  <c r="P109" i="8"/>
  <c r="P68" i="8"/>
  <c r="P67" i="8"/>
  <c r="P676" i="8"/>
  <c r="P464" i="8"/>
  <c r="P457" i="8"/>
  <c r="P169" i="8"/>
  <c r="P183" i="8"/>
  <c r="P167" i="8"/>
  <c r="P451" i="8"/>
  <c r="M60" i="8"/>
  <c r="N60" i="8"/>
  <c r="P60" i="8" s="1"/>
  <c r="P468" i="8"/>
  <c r="P550" i="8"/>
  <c r="M54" i="8"/>
  <c r="N54" i="8"/>
  <c r="O54" i="8" s="1"/>
  <c r="H26" i="8"/>
  <c r="M26" i="8"/>
  <c r="N26" i="8"/>
  <c r="O655" i="8"/>
  <c r="O626" i="8"/>
  <c r="O674" i="8"/>
  <c r="P586" i="8"/>
  <c r="P539" i="8"/>
  <c r="P650" i="8"/>
  <c r="P590" i="8"/>
  <c r="P571" i="8"/>
  <c r="P567" i="8"/>
  <c r="P563" i="8"/>
  <c r="P559" i="8"/>
  <c r="P540" i="8"/>
  <c r="P509" i="8"/>
  <c r="P501" i="8"/>
  <c r="P582" i="8"/>
  <c r="P578" i="8"/>
  <c r="P537" i="8"/>
  <c r="P392" i="8"/>
  <c r="P486" i="8"/>
  <c r="P414" i="8"/>
  <c r="P406" i="8"/>
  <c r="P394" i="8"/>
  <c r="P421" i="8"/>
  <c r="P405" i="8"/>
  <c r="P304" i="8"/>
  <c r="P248" i="8"/>
  <c r="P278" i="8"/>
  <c r="P229" i="8"/>
  <c r="P281" i="8"/>
  <c r="P230" i="8"/>
  <c r="P279" i="8"/>
  <c r="P231" i="8"/>
  <c r="P277" i="8"/>
  <c r="P228" i="8"/>
  <c r="H28" i="8"/>
  <c r="M28" i="8"/>
  <c r="N28" i="8"/>
  <c r="P70" i="8"/>
  <c r="O47" i="8"/>
  <c r="P69" i="8"/>
  <c r="P552" i="8"/>
  <c r="P589" i="8"/>
  <c r="P549" i="8"/>
  <c r="P123" i="8"/>
  <c r="P554" i="8"/>
  <c r="P173" i="8"/>
  <c r="H22" i="8"/>
  <c r="N22" i="8"/>
  <c r="M22" i="8"/>
  <c r="P463" i="8"/>
  <c r="P443" i="8"/>
  <c r="P455" i="8"/>
  <c r="P496" i="8"/>
  <c r="P588" i="8"/>
  <c r="P570" i="8"/>
  <c r="P566" i="8"/>
  <c r="P562" i="8"/>
  <c r="P558" i="8"/>
  <c r="P533" i="8"/>
  <c r="P548" i="8"/>
  <c r="P452" i="8"/>
  <c r="P185" i="8"/>
  <c r="P555" i="8"/>
  <c r="P644" i="8"/>
  <c r="P553" i="8"/>
  <c r="P442" i="8"/>
  <c r="P219" i="8"/>
  <c r="P179" i="8"/>
  <c r="P74" i="8"/>
  <c r="P471" i="8"/>
  <c r="P383" i="8"/>
  <c r="P377" i="8"/>
  <c r="M79" i="8"/>
  <c r="H79" i="8"/>
  <c r="O79" i="8" s="1"/>
  <c r="H21" i="8"/>
  <c r="M21" i="8"/>
  <c r="N21" i="8"/>
  <c r="H25" i="8"/>
  <c r="M25" i="8"/>
  <c r="N25" i="8"/>
  <c r="O680" i="8"/>
  <c r="P680" i="8"/>
  <c r="O694" i="8"/>
  <c r="P694" i="8"/>
  <c r="N713" i="8"/>
  <c r="P712" i="8"/>
  <c r="O611" i="8"/>
  <c r="P611" i="8"/>
  <c r="O530" i="8"/>
  <c r="P530" i="8"/>
  <c r="O783" i="8"/>
  <c r="P783" i="8"/>
  <c r="O761" i="8"/>
  <c r="P761" i="8"/>
  <c r="O696" i="8"/>
  <c r="P696" i="8"/>
  <c r="O691" i="8"/>
  <c r="P691" i="8"/>
  <c r="O534" i="8"/>
  <c r="P534" i="8"/>
  <c r="O749" i="8"/>
  <c r="P749" i="8"/>
  <c r="O756" i="8"/>
  <c r="P756" i="8"/>
  <c r="O596" i="8"/>
  <c r="P596" i="8"/>
  <c r="O690" i="8"/>
  <c r="P690" i="8"/>
  <c r="O594" i="8"/>
  <c r="P594" i="8"/>
  <c r="O638" i="8"/>
  <c r="P638" i="8"/>
  <c r="O645" i="8"/>
  <c r="P645" i="8"/>
  <c r="O772" i="8"/>
  <c r="P772" i="8"/>
  <c r="O781" i="8"/>
  <c r="P781" i="8"/>
  <c r="O688" i="8"/>
  <c r="P688" i="8"/>
  <c r="O457" i="8"/>
  <c r="O643" i="8"/>
  <c r="P643" i="8"/>
  <c r="O689" i="8"/>
  <c r="P689" i="8"/>
  <c r="O640" i="8"/>
  <c r="O538" i="8"/>
  <c r="P538" i="8"/>
  <c r="O183" i="8"/>
  <c r="O637" i="8"/>
  <c r="P637" i="8"/>
  <c r="O642" i="8"/>
  <c r="P642" i="8"/>
  <c r="O779" i="8"/>
  <c r="P779" i="8"/>
  <c r="O700" i="8"/>
  <c r="P700" i="8"/>
  <c r="O692" i="8"/>
  <c r="P692" i="8"/>
  <c r="O676" i="8"/>
  <c r="O687" i="8"/>
  <c r="P687" i="8"/>
  <c r="O68" i="8"/>
  <c r="O641" i="8"/>
  <c r="P641" i="8"/>
  <c r="N484" i="8"/>
  <c r="P482" i="8"/>
  <c r="O372" i="8"/>
  <c r="O219" i="8"/>
  <c r="O172" i="8"/>
  <c r="P172" i="8"/>
  <c r="M412" i="8"/>
  <c r="M150" i="8"/>
  <c r="N432" i="8"/>
  <c r="N398" i="8"/>
  <c r="O313" i="8"/>
  <c r="P313" i="8"/>
  <c r="P163" i="8"/>
  <c r="O80" i="8"/>
  <c r="P80" i="8"/>
  <c r="O93" i="8"/>
  <c r="P93" i="8"/>
  <c r="O464" i="8"/>
  <c r="O138" i="8"/>
  <c r="M134" i="8"/>
  <c r="O169" i="8"/>
  <c r="O553" i="8"/>
  <c r="O549" i="8"/>
  <c r="P13" i="8"/>
  <c r="O285" i="8"/>
  <c r="O269" i="8"/>
  <c r="N646" i="8"/>
  <c r="O74" i="8"/>
  <c r="O123" i="8"/>
  <c r="M484" i="8"/>
  <c r="O461" i="8"/>
  <c r="O572" i="8"/>
  <c r="O568" i="8"/>
  <c r="O564" i="8"/>
  <c r="O560" i="8"/>
  <c r="O515" i="8"/>
  <c r="O505" i="8"/>
  <c r="O579" i="8"/>
  <c r="O404" i="8"/>
  <c r="O479" i="8"/>
  <c r="O185" i="8"/>
  <c r="O754" i="8"/>
  <c r="O699" i="8"/>
  <c r="O639" i="8"/>
  <c r="O571" i="8"/>
  <c r="O567" i="8"/>
  <c r="O563" i="8"/>
  <c r="O559" i="8"/>
  <c r="O709" i="8"/>
  <c r="O725" i="8"/>
  <c r="O522" i="8"/>
  <c r="N683" i="8"/>
  <c r="H683" i="8"/>
  <c r="M683" i="8"/>
  <c r="M224" i="8"/>
  <c r="N224" i="8"/>
  <c r="H224" i="8"/>
  <c r="M139" i="8"/>
  <c r="N139" i="8"/>
  <c r="H139" i="8"/>
  <c r="M126" i="8"/>
  <c r="N126" i="8"/>
  <c r="H126" i="8"/>
  <c r="M85" i="8"/>
  <c r="H85" i="8"/>
  <c r="O85" i="8" s="1"/>
  <c r="N182" i="8"/>
  <c r="H182" i="8"/>
  <c r="N164" i="8"/>
  <c r="H164" i="8"/>
  <c r="M89" i="8"/>
  <c r="H89" i="8"/>
  <c r="P89" i="8" s="1"/>
  <c r="M44" i="8"/>
  <c r="H44" i="8"/>
  <c r="O44" i="8" s="1"/>
  <c r="M143" i="8"/>
  <c r="H143" i="8"/>
  <c r="N143" i="8"/>
  <c r="L614" i="8"/>
  <c r="O271" i="8"/>
  <c r="P39" i="8"/>
  <c r="M710" i="8"/>
  <c r="H681" i="8"/>
  <c r="O681" i="8" s="1"/>
  <c r="M681" i="8"/>
  <c r="N367" i="8"/>
  <c r="H367" i="8"/>
  <c r="M367" i="8"/>
  <c r="M222" i="8"/>
  <c r="H222" i="8"/>
  <c r="N222" i="8"/>
  <c r="M532" i="8"/>
  <c r="H532" i="8"/>
  <c r="O532" i="8" s="1"/>
  <c r="N178" i="8"/>
  <c r="H178" i="8"/>
  <c r="M91" i="8"/>
  <c r="N91" i="8"/>
  <c r="H91" i="8"/>
  <c r="M84" i="8"/>
  <c r="N84" i="8"/>
  <c r="H84" i="8"/>
  <c r="M33" i="8"/>
  <c r="H33" i="8"/>
  <c r="L188" i="8"/>
  <c r="M122" i="8"/>
  <c r="H122" i="8"/>
  <c r="N122" i="8"/>
  <c r="L736" i="8"/>
  <c r="L737" i="8" s="1"/>
  <c r="L633" i="8"/>
  <c r="L51" i="8"/>
  <c r="N679" i="8"/>
  <c r="H679" i="8"/>
  <c r="M679" i="8"/>
  <c r="M221" i="8"/>
  <c r="H221" i="8"/>
  <c r="O221" i="8" s="1"/>
  <c r="M141" i="8"/>
  <c r="H141" i="8"/>
  <c r="N141" i="8"/>
  <c r="M83" i="8"/>
  <c r="H83" i="8"/>
  <c r="N83" i="8"/>
  <c r="M77" i="8"/>
  <c r="H77" i="8"/>
  <c r="N77" i="8"/>
  <c r="N186" i="8"/>
  <c r="H186" i="8"/>
  <c r="N170" i="8"/>
  <c r="H170" i="8"/>
  <c r="L127" i="8"/>
  <c r="N174" i="8"/>
  <c r="H174" i="8"/>
  <c r="P35" i="8"/>
  <c r="P38" i="8"/>
  <c r="L775" i="8"/>
  <c r="L714" i="8"/>
  <c r="O650" i="8"/>
  <c r="O590" i="8"/>
  <c r="O540" i="8"/>
  <c r="L310" i="8"/>
  <c r="L254" i="8"/>
  <c r="M220" i="8"/>
  <c r="N220" i="8"/>
  <c r="H220" i="8"/>
  <c r="M536" i="8"/>
  <c r="H536" i="8"/>
  <c r="O536" i="8" s="1"/>
  <c r="M495" i="8"/>
  <c r="M497" i="8" s="1"/>
  <c r="H495" i="8"/>
  <c r="O495" i="8" s="1"/>
  <c r="M225" i="8"/>
  <c r="H225" i="8"/>
  <c r="O225" i="8" s="1"/>
  <c r="M218" i="8"/>
  <c r="N218" i="8"/>
  <c r="H218" i="8"/>
  <c r="M86" i="8"/>
  <c r="N86" i="8"/>
  <c r="H86" i="8"/>
  <c r="M78" i="8"/>
  <c r="N78" i="8"/>
  <c r="H78" i="8"/>
  <c r="M90" i="8"/>
  <c r="H90" i="8"/>
  <c r="N90" i="8"/>
  <c r="M76" i="8"/>
  <c r="N76" i="8"/>
  <c r="H76" i="8"/>
  <c r="M124" i="8"/>
  <c r="N124" i="8"/>
  <c r="H124" i="8"/>
  <c r="M95" i="8"/>
  <c r="N95" i="8"/>
  <c r="H95" i="8"/>
  <c r="O438" i="8"/>
  <c r="O436" i="8"/>
  <c r="O249" i="8"/>
  <c r="O787" i="8"/>
  <c r="O788" i="8"/>
  <c r="N480" i="8"/>
  <c r="O595" i="8"/>
  <c r="O663" i="8"/>
  <c r="O661" i="8"/>
  <c r="O496" i="8"/>
  <c r="O452" i="8"/>
  <c r="O537" i="8"/>
  <c r="O335" i="8"/>
  <c r="O284" i="8"/>
  <c r="O45" i="8"/>
  <c r="O34" i="8"/>
  <c r="M419" i="8"/>
  <c r="N556" i="8"/>
  <c r="O752" i="8"/>
  <c r="O735" i="8"/>
  <c r="O672" i="8"/>
  <c r="O548" i="8"/>
  <c r="O618" i="8"/>
  <c r="O592" i="8"/>
  <c r="O509" i="8"/>
  <c r="O501" i="8"/>
  <c r="O582" i="8"/>
  <c r="O578" i="8"/>
  <c r="O248" i="8"/>
  <c r="O270" i="8"/>
  <c r="O268" i="8"/>
  <c r="O765" i="8"/>
  <c r="O789" i="8"/>
  <c r="O770" i="8"/>
  <c r="O632" i="8"/>
  <c r="O628" i="8"/>
  <c r="O624" i="8"/>
  <c r="N656" i="8"/>
  <c r="O622" i="8"/>
  <c r="O588" i="8"/>
  <c r="O586" i="8"/>
  <c r="O539" i="8"/>
  <c r="O516" i="8"/>
  <c r="O416" i="8"/>
  <c r="O67" i="8"/>
  <c r="M809" i="8"/>
  <c r="H809" i="8"/>
  <c r="M801" i="8"/>
  <c r="H801" i="8"/>
  <c r="O782" i="8"/>
  <c r="M780" i="8"/>
  <c r="H780" i="8"/>
  <c r="N780" i="8"/>
  <c r="O695" i="8"/>
  <c r="O686" i="8"/>
  <c r="M762" i="8"/>
  <c r="H762" i="8"/>
  <c r="N762" i="8"/>
  <c r="O610" i="8"/>
  <c r="O617" i="8"/>
  <c r="L574" i="8"/>
  <c r="M593" i="8"/>
  <c r="H593" i="8"/>
  <c r="N593" i="8"/>
  <c r="O570" i="8"/>
  <c r="O566" i="8"/>
  <c r="O562" i="8"/>
  <c r="H574" i="8"/>
  <c r="O558" i="8"/>
  <c r="O535" i="8"/>
  <c r="L542" i="8"/>
  <c r="M608" i="8"/>
  <c r="H608" i="8"/>
  <c r="N608" i="8"/>
  <c r="N487" i="8"/>
  <c r="H487" i="8"/>
  <c r="M487" i="8"/>
  <c r="O442" i="8"/>
  <c r="M597" i="8"/>
  <c r="H597" i="8"/>
  <c r="N597" i="8"/>
  <c r="O585" i="8"/>
  <c r="M480" i="8"/>
  <c r="H412" i="8"/>
  <c r="O410" i="8"/>
  <c r="N378" i="8"/>
  <c r="H378" i="8"/>
  <c r="M378" i="8"/>
  <c r="N366" i="8"/>
  <c r="H366" i="8"/>
  <c r="M366" i="8"/>
  <c r="N361" i="8"/>
  <c r="H361" i="8"/>
  <c r="M361" i="8"/>
  <c r="N356" i="8"/>
  <c r="H356" i="8"/>
  <c r="M356" i="8"/>
  <c r="N350" i="8"/>
  <c r="H350" i="8"/>
  <c r="M350" i="8"/>
  <c r="N346" i="8"/>
  <c r="H346" i="8"/>
  <c r="M346" i="8"/>
  <c r="O314" i="8"/>
  <c r="N265" i="8"/>
  <c r="H265" i="8"/>
  <c r="M265" i="8"/>
  <c r="N261" i="8"/>
  <c r="H261" i="8"/>
  <c r="M261" i="8"/>
  <c r="N257" i="8"/>
  <c r="H257" i="8"/>
  <c r="M257" i="8"/>
  <c r="N244" i="8"/>
  <c r="H244" i="8"/>
  <c r="M244" i="8"/>
  <c r="N240" i="8"/>
  <c r="H240" i="8"/>
  <c r="M240" i="8"/>
  <c r="N236" i="8"/>
  <c r="H236" i="8"/>
  <c r="M236" i="8"/>
  <c r="O275" i="8"/>
  <c r="O273" i="8"/>
  <c r="L71" i="8"/>
  <c r="L101" i="8" s="1"/>
  <c r="O274" i="8"/>
  <c r="N66" i="8"/>
  <c r="H66" i="8"/>
  <c r="M66" i="8"/>
  <c r="O272" i="8"/>
  <c r="N211" i="8"/>
  <c r="H211" i="8"/>
  <c r="M211" i="8"/>
  <c r="N193" i="8"/>
  <c r="H193" i="8"/>
  <c r="M193" i="8"/>
  <c r="M160" i="8"/>
  <c r="H160" i="8"/>
  <c r="N160" i="8"/>
  <c r="N154" i="8"/>
  <c r="H154" i="8"/>
  <c r="M154" i="8"/>
  <c r="O131" i="8"/>
  <c r="N117" i="8"/>
  <c r="H117" i="8"/>
  <c r="M117" i="8"/>
  <c r="M103" i="8"/>
  <c r="M105" i="8" s="1"/>
  <c r="H103" i="8"/>
  <c r="N103" i="8"/>
  <c r="M55" i="8"/>
  <c r="H55" i="8"/>
  <c r="O55" i="8" s="1"/>
  <c r="M14" i="8"/>
  <c r="H14" i="8"/>
  <c r="O14" i="8" s="1"/>
  <c r="M37" i="8"/>
  <c r="H37" i="8"/>
  <c r="O37" i="8" s="1"/>
  <c r="M23" i="8"/>
  <c r="H23" i="8"/>
  <c r="O39" i="8"/>
  <c r="P47" i="8"/>
  <c r="O50" i="8"/>
  <c r="H807" i="8"/>
  <c r="M807" i="8"/>
  <c r="H799" i="8"/>
  <c r="M799" i="8"/>
  <c r="M808" i="8"/>
  <c r="H808" i="8"/>
  <c r="O808" i="8" s="1"/>
  <c r="M800" i="8"/>
  <c r="H800" i="8"/>
  <c r="M806" i="8"/>
  <c r="H806" i="8"/>
  <c r="O806" i="8" s="1"/>
  <c r="N809" i="8"/>
  <c r="N801" i="8"/>
  <c r="O744" i="8"/>
  <c r="O732" i="8"/>
  <c r="O727" i="8"/>
  <c r="O723" i="8"/>
  <c r="O718" i="8"/>
  <c r="O724" i="8"/>
  <c r="O730" i="8"/>
  <c r="H713" i="8"/>
  <c r="O712" i="8"/>
  <c r="O713" i="8" s="1"/>
  <c r="M693" i="8"/>
  <c r="H693" i="8"/>
  <c r="N693" i="8"/>
  <c r="O613" i="8"/>
  <c r="N726" i="8"/>
  <c r="H726" i="8"/>
  <c r="M726" i="8"/>
  <c r="M736" i="8" s="1"/>
  <c r="O664" i="8"/>
  <c r="O660" i="8"/>
  <c r="O658" i="8"/>
  <c r="O621" i="8"/>
  <c r="M815" i="8"/>
  <c r="H815" i="8"/>
  <c r="O815" i="8" s="1"/>
  <c r="O630" i="8"/>
  <c r="N652" i="8"/>
  <c r="N612" i="8"/>
  <c r="H612" i="8"/>
  <c r="M612" i="8"/>
  <c r="O573" i="8"/>
  <c r="O569" i="8"/>
  <c r="O565" i="8"/>
  <c r="O561" i="8"/>
  <c r="O507" i="8"/>
  <c r="L598" i="8"/>
  <c r="O529" i="8"/>
  <c r="O494" i="8"/>
  <c r="N807" i="8"/>
  <c r="M697" i="8"/>
  <c r="H697" i="8"/>
  <c r="N697" i="8"/>
  <c r="O541" i="8"/>
  <c r="O523" i="8"/>
  <c r="N497" i="8"/>
  <c r="O392" i="8"/>
  <c r="O486" i="8"/>
  <c r="N439" i="8"/>
  <c r="O478" i="8"/>
  <c r="N385" i="8"/>
  <c r="H385" i="8"/>
  <c r="M385" i="8"/>
  <c r="N364" i="8"/>
  <c r="H364" i="8"/>
  <c r="M364" i="8"/>
  <c r="N360" i="8"/>
  <c r="H360" i="8"/>
  <c r="M360" i="8"/>
  <c r="N355" i="8"/>
  <c r="H355" i="8"/>
  <c r="M355" i="8"/>
  <c r="N349" i="8"/>
  <c r="H349" i="8"/>
  <c r="M349" i="8"/>
  <c r="N345" i="8"/>
  <c r="H345" i="8"/>
  <c r="M345" i="8"/>
  <c r="O376" i="8"/>
  <c r="O309" i="8"/>
  <c r="O371" i="8"/>
  <c r="N264" i="8"/>
  <c r="H264" i="8"/>
  <c r="M264" i="8"/>
  <c r="N260" i="8"/>
  <c r="H260" i="8"/>
  <c r="M260" i="8"/>
  <c r="N256" i="8"/>
  <c r="H256" i="8"/>
  <c r="M256" i="8"/>
  <c r="N243" i="8"/>
  <c r="H243" i="8"/>
  <c r="M243" i="8"/>
  <c r="N239" i="8"/>
  <c r="H239" i="8"/>
  <c r="M239" i="8"/>
  <c r="N235" i="8"/>
  <c r="H235" i="8"/>
  <c r="M235" i="8"/>
  <c r="O278" i="8"/>
  <c r="O229" i="8"/>
  <c r="O276" i="8"/>
  <c r="O200" i="8"/>
  <c r="O279" i="8"/>
  <c r="O227" i="8"/>
  <c r="O212" i="8"/>
  <c r="O194" i="8"/>
  <c r="O277" i="8"/>
  <c r="O228" i="8"/>
  <c r="N207" i="8"/>
  <c r="H207" i="8"/>
  <c r="M207" i="8"/>
  <c r="O167" i="8"/>
  <c r="N159" i="8"/>
  <c r="H159" i="8"/>
  <c r="M159" i="8"/>
  <c r="N153" i="8"/>
  <c r="H153" i="8"/>
  <c r="M153" i="8"/>
  <c r="N116" i="8"/>
  <c r="H116" i="8"/>
  <c r="M116" i="8"/>
  <c r="H48" i="8"/>
  <c r="M48" i="8"/>
  <c r="M65" i="8"/>
  <c r="N65" i="8"/>
  <c r="H65" i="8"/>
  <c r="H71" i="8" s="1"/>
  <c r="N23" i="8"/>
  <c r="P34" i="8"/>
  <c r="O69" i="8"/>
  <c r="M814" i="8"/>
  <c r="H814" i="8"/>
  <c r="H805" i="8"/>
  <c r="O805" i="8" s="1"/>
  <c r="M805" i="8"/>
  <c r="H795" i="8"/>
  <c r="P795" i="8" s="1"/>
  <c r="O778" i="8"/>
  <c r="M804" i="8"/>
  <c r="H804" i="8"/>
  <c r="O804" i="8" s="1"/>
  <c r="L791" i="8"/>
  <c r="O728" i="8"/>
  <c r="M810" i="8"/>
  <c r="H810" i="8"/>
  <c r="O810" i="8" s="1"/>
  <c r="N790" i="8"/>
  <c r="H790" i="8"/>
  <c r="M790" i="8"/>
  <c r="H656" i="8"/>
  <c r="O654" i="8"/>
  <c r="O604" i="8"/>
  <c r="N623" i="8"/>
  <c r="H623" i="8"/>
  <c r="M623" i="8"/>
  <c r="N574" i="8"/>
  <c r="H480" i="8"/>
  <c r="O477" i="8"/>
  <c r="H426" i="8"/>
  <c r="O422" i="8"/>
  <c r="O414" i="8"/>
  <c r="O406" i="8"/>
  <c r="O405" i="8"/>
  <c r="H398" i="8"/>
  <c r="N363" i="8"/>
  <c r="H363" i="8"/>
  <c r="M363" i="8"/>
  <c r="N359" i="8"/>
  <c r="H359" i="8"/>
  <c r="M359" i="8"/>
  <c r="N353" i="8"/>
  <c r="H353" i="8"/>
  <c r="M353" i="8"/>
  <c r="N348" i="8"/>
  <c r="H348" i="8"/>
  <c r="M348" i="8"/>
  <c r="O381" i="8"/>
  <c r="O331" i="8"/>
  <c r="O320" i="8"/>
  <c r="H315" i="8"/>
  <c r="O312" i="8"/>
  <c r="N263" i="8"/>
  <c r="H263" i="8"/>
  <c r="M263" i="8"/>
  <c r="N259" i="8"/>
  <c r="H259" i="8"/>
  <c r="M259" i="8"/>
  <c r="N242" i="8"/>
  <c r="H242" i="8"/>
  <c r="M242" i="8"/>
  <c r="N238" i="8"/>
  <c r="H238" i="8"/>
  <c r="M238" i="8"/>
  <c r="N234" i="8"/>
  <c r="H234" i="8"/>
  <c r="M234" i="8"/>
  <c r="O283" i="8"/>
  <c r="O267" i="8"/>
  <c r="O281" i="8"/>
  <c r="O230" i="8"/>
  <c r="O282" i="8"/>
  <c r="O266" i="8"/>
  <c r="O231" i="8"/>
  <c r="O280" i="8"/>
  <c r="O232" i="8"/>
  <c r="N202" i="8"/>
  <c r="H202" i="8"/>
  <c r="M202" i="8"/>
  <c r="H157" i="8"/>
  <c r="N115" i="8"/>
  <c r="H115" i="8"/>
  <c r="M115" i="8"/>
  <c r="H59" i="8"/>
  <c r="H43" i="8"/>
  <c r="M43" i="8"/>
  <c r="L29" i="8"/>
  <c r="M42" i="8"/>
  <c r="H42" i="8"/>
  <c r="M32" i="8"/>
  <c r="H32" i="8"/>
  <c r="P32" i="8" s="1"/>
  <c r="O70" i="8"/>
  <c r="O64" i="8"/>
  <c r="H811" i="8"/>
  <c r="O811" i="8" s="1"/>
  <c r="M811" i="8"/>
  <c r="H803" i="8"/>
  <c r="O803" i="8" s="1"/>
  <c r="M803" i="8"/>
  <c r="N814" i="8"/>
  <c r="M757" i="8"/>
  <c r="H757" i="8"/>
  <c r="N757" i="8"/>
  <c r="M802" i="8"/>
  <c r="H802" i="8"/>
  <c r="O802" i="8" s="1"/>
  <c r="O669" i="8"/>
  <c r="O544" i="8"/>
  <c r="N800" i="8"/>
  <c r="N619" i="8"/>
  <c r="H619" i="8"/>
  <c r="M619" i="8"/>
  <c r="L480" i="8"/>
  <c r="M784" i="8"/>
  <c r="H784" i="8"/>
  <c r="N784" i="8"/>
  <c r="N542" i="8"/>
  <c r="L387" i="8"/>
  <c r="N423" i="8"/>
  <c r="N374" i="8"/>
  <c r="H374" i="8"/>
  <c r="M374" i="8"/>
  <c r="N362" i="8"/>
  <c r="H362" i="8"/>
  <c r="M362" i="8"/>
  <c r="N358" i="8"/>
  <c r="H358" i="8"/>
  <c r="M358" i="8"/>
  <c r="N352" i="8"/>
  <c r="H352" i="8"/>
  <c r="M352" i="8"/>
  <c r="N347" i="8"/>
  <c r="H347" i="8"/>
  <c r="M347" i="8"/>
  <c r="N315" i="8"/>
  <c r="N262" i="8"/>
  <c r="H262" i="8"/>
  <c r="M262" i="8"/>
  <c r="N258" i="8"/>
  <c r="H258" i="8"/>
  <c r="M258" i="8"/>
  <c r="N241" i="8"/>
  <c r="H241" i="8"/>
  <c r="M241" i="8"/>
  <c r="N237" i="8"/>
  <c r="H237" i="8"/>
  <c r="M237" i="8"/>
  <c r="O13" i="8"/>
  <c r="N198" i="8"/>
  <c r="H198" i="8"/>
  <c r="M198" i="8"/>
  <c r="N155" i="8"/>
  <c r="H155" i="8"/>
  <c r="M155" i="8"/>
  <c r="M57" i="8"/>
  <c r="H57" i="8"/>
  <c r="O57" i="8" s="1"/>
  <c r="M16" i="8"/>
  <c r="H16" i="8"/>
  <c r="O16" i="8" s="1"/>
  <c r="P45" i="8"/>
  <c r="O673" i="7"/>
  <c r="N13" i="7"/>
  <c r="N15" i="7"/>
  <c r="P15" i="7" s="1"/>
  <c r="N45" i="7"/>
  <c r="P45" i="7" s="1"/>
  <c r="M45" i="7"/>
  <c r="L605" i="7"/>
  <c r="G596" i="7"/>
  <c r="N596" i="7" s="1"/>
  <c r="G610" i="7"/>
  <c r="N610" i="7" s="1"/>
  <c r="G696" i="7"/>
  <c r="H696" i="7" s="1"/>
  <c r="G496" i="7"/>
  <c r="L546" i="7"/>
  <c r="G549" i="7"/>
  <c r="M549" i="7" s="1"/>
  <c r="L683" i="7"/>
  <c r="G688" i="7"/>
  <c r="H688" i="7" s="1"/>
  <c r="L470" i="7"/>
  <c r="G516" i="7"/>
  <c r="H516" i="7" s="1"/>
  <c r="H68" i="7"/>
  <c r="N68" i="7"/>
  <c r="H169" i="7"/>
  <c r="M169" i="7"/>
  <c r="N169" i="7"/>
  <c r="H177" i="7"/>
  <c r="M177" i="7"/>
  <c r="H260" i="7"/>
  <c r="M260" i="7"/>
  <c r="N260" i="7"/>
  <c r="H280" i="7"/>
  <c r="N280" i="7"/>
  <c r="M280" i="7"/>
  <c r="H285" i="7"/>
  <c r="M285" i="7"/>
  <c r="N285" i="7"/>
  <c r="H293" i="7"/>
  <c r="M293" i="7"/>
  <c r="N293" i="7"/>
  <c r="H300" i="7"/>
  <c r="M300" i="7"/>
  <c r="N300" i="7"/>
  <c r="H327" i="7"/>
  <c r="M327" i="7"/>
  <c r="N327" i="7"/>
  <c r="H338" i="7"/>
  <c r="N338" i="7"/>
  <c r="H380" i="7"/>
  <c r="M380" i="7"/>
  <c r="H468" i="7"/>
  <c r="M468" i="7"/>
  <c r="N468" i="7"/>
  <c r="L624" i="7"/>
  <c r="G624" i="7"/>
  <c r="H788" i="7"/>
  <c r="N788" i="7"/>
  <c r="M788" i="7"/>
  <c r="H65" i="7"/>
  <c r="N65" i="7"/>
  <c r="M65" i="7"/>
  <c r="H257" i="7"/>
  <c r="M257" i="7"/>
  <c r="N257" i="7"/>
  <c r="H261" i="7"/>
  <c r="M261" i="7"/>
  <c r="N261" i="7"/>
  <c r="H265" i="7"/>
  <c r="M265" i="7"/>
  <c r="H269" i="7"/>
  <c r="M269" i="7"/>
  <c r="N269" i="7"/>
  <c r="H273" i="7"/>
  <c r="M273" i="7"/>
  <c r="N273" i="7"/>
  <c r="H277" i="7"/>
  <c r="M277" i="7"/>
  <c r="N277" i="7"/>
  <c r="L280" i="7"/>
  <c r="H290" i="7"/>
  <c r="M290" i="7"/>
  <c r="N290" i="7"/>
  <c r="H294" i="7"/>
  <c r="M294" i="7"/>
  <c r="M298" i="7"/>
  <c r="N298" i="7"/>
  <c r="H301" i="7"/>
  <c r="M301" i="7"/>
  <c r="N301" i="7"/>
  <c r="H305" i="7"/>
  <c r="M305" i="7"/>
  <c r="N305" i="7"/>
  <c r="H309" i="7"/>
  <c r="M309" i="7"/>
  <c r="N309" i="7"/>
  <c r="H318" i="7"/>
  <c r="N318" i="7"/>
  <c r="M318" i="7"/>
  <c r="H328" i="7"/>
  <c r="O328" i="7" s="1"/>
  <c r="M328" i="7"/>
  <c r="H334" i="7"/>
  <c r="M334" i="7"/>
  <c r="N334" i="7"/>
  <c r="H340" i="7"/>
  <c r="M340" i="7"/>
  <c r="N340" i="7"/>
  <c r="H371" i="7"/>
  <c r="M371" i="7"/>
  <c r="H376" i="7"/>
  <c r="M376" i="7"/>
  <c r="N376" i="7"/>
  <c r="H381" i="7"/>
  <c r="M381" i="7"/>
  <c r="N381" i="7"/>
  <c r="G445" i="7"/>
  <c r="L450" i="7"/>
  <c r="G450" i="7"/>
  <c r="H689" i="7"/>
  <c r="M689" i="7"/>
  <c r="N689" i="7"/>
  <c r="N696" i="7"/>
  <c r="H752" i="7"/>
  <c r="M752" i="7"/>
  <c r="N752" i="7"/>
  <c r="H767" i="7"/>
  <c r="N767" i="7"/>
  <c r="M767" i="7"/>
  <c r="H774" i="7"/>
  <c r="N774" i="7"/>
  <c r="M774" i="7"/>
  <c r="N64" i="7"/>
  <c r="M68" i="7"/>
  <c r="N177" i="7"/>
  <c r="N294" i="7"/>
  <c r="N380" i="7"/>
  <c r="H281" i="7"/>
  <c r="O281" i="7" s="1"/>
  <c r="M281" i="7"/>
  <c r="H287" i="7"/>
  <c r="M287" i="7"/>
  <c r="N287" i="7"/>
  <c r="H291" i="7"/>
  <c r="N291" i="7"/>
  <c r="H295" i="7"/>
  <c r="M295" i="7"/>
  <c r="N295" i="7"/>
  <c r="H298" i="7"/>
  <c r="H306" i="7"/>
  <c r="M306" i="7"/>
  <c r="N306" i="7"/>
  <c r="H319" i="7"/>
  <c r="M319" i="7"/>
  <c r="N319" i="7"/>
  <c r="H325" i="7"/>
  <c r="N325" i="7"/>
  <c r="M325" i="7"/>
  <c r="H330" i="7"/>
  <c r="M330" i="7"/>
  <c r="N330" i="7"/>
  <c r="H335" i="7"/>
  <c r="N335" i="7"/>
  <c r="M335" i="7"/>
  <c r="H451" i="7"/>
  <c r="O451" i="7" s="1"/>
  <c r="M451" i="7"/>
  <c r="H460" i="7"/>
  <c r="N460" i="7"/>
  <c r="M460" i="7"/>
  <c r="H496" i="7"/>
  <c r="M496" i="7"/>
  <c r="N496" i="7"/>
  <c r="H551" i="7"/>
  <c r="N551" i="7"/>
  <c r="M551" i="7"/>
  <c r="H555" i="7"/>
  <c r="M555" i="7"/>
  <c r="N555" i="7"/>
  <c r="H690" i="7"/>
  <c r="N690" i="7"/>
  <c r="M690" i="7"/>
  <c r="H694" i="7"/>
  <c r="M694" i="7"/>
  <c r="N694" i="7"/>
  <c r="L717" i="7"/>
  <c r="G717" i="7"/>
  <c r="M66" i="7"/>
  <c r="N70" i="7"/>
  <c r="O70" i="7" s="1"/>
  <c r="M291" i="7"/>
  <c r="N265" i="7"/>
  <c r="H110" i="7"/>
  <c r="N110" i="7"/>
  <c r="M110" i="7"/>
  <c r="H173" i="7"/>
  <c r="M173" i="7"/>
  <c r="N173" i="7"/>
  <c r="H185" i="7"/>
  <c r="N185" i="7"/>
  <c r="M185" i="7"/>
  <c r="H276" i="7"/>
  <c r="M276" i="7"/>
  <c r="N276" i="7"/>
  <c r="H289" i="7"/>
  <c r="M289" i="7"/>
  <c r="N289" i="7"/>
  <c r="H297" i="7"/>
  <c r="M297" i="7"/>
  <c r="H304" i="7"/>
  <c r="N304" i="7"/>
  <c r="H308" i="7"/>
  <c r="M308" i="7"/>
  <c r="N308" i="7"/>
  <c r="H321" i="7"/>
  <c r="N321" i="7"/>
  <c r="M321" i="7"/>
  <c r="H333" i="7"/>
  <c r="M333" i="7"/>
  <c r="N333" i="7"/>
  <c r="H375" i="7"/>
  <c r="N375" i="7"/>
  <c r="M375" i="7"/>
  <c r="H386" i="7"/>
  <c r="M386" i="7"/>
  <c r="N386" i="7"/>
  <c r="H449" i="7"/>
  <c r="N449" i="7"/>
  <c r="M449" i="7"/>
  <c r="H457" i="7"/>
  <c r="M457" i="7"/>
  <c r="N457" i="7"/>
  <c r="H519" i="7"/>
  <c r="N519" i="7"/>
  <c r="M519" i="7"/>
  <c r="M64" i="7"/>
  <c r="N297" i="7"/>
  <c r="H69" i="7"/>
  <c r="N69" i="7"/>
  <c r="H147" i="7"/>
  <c r="M147" i="7"/>
  <c r="N147" i="7"/>
  <c r="H67" i="7"/>
  <c r="N67" i="7"/>
  <c r="M67" i="7"/>
  <c r="H109" i="7"/>
  <c r="M109" i="7"/>
  <c r="H123" i="7"/>
  <c r="M123" i="7"/>
  <c r="H180" i="7"/>
  <c r="N180" i="7"/>
  <c r="G236" i="7"/>
  <c r="G239" i="7"/>
  <c r="L281" i="7"/>
  <c r="G284" i="7"/>
  <c r="H288" i="7"/>
  <c r="N288" i="7"/>
  <c r="H292" i="7"/>
  <c r="M292" i="7"/>
  <c r="N292" i="7"/>
  <c r="H296" i="7"/>
  <c r="N296" i="7"/>
  <c r="M296" i="7"/>
  <c r="H299" i="7"/>
  <c r="N299" i="7"/>
  <c r="M299" i="7"/>
  <c r="H303" i="7"/>
  <c r="M303" i="7"/>
  <c r="N303" i="7"/>
  <c r="H307" i="7"/>
  <c r="N307" i="7"/>
  <c r="H320" i="7"/>
  <c r="N320" i="7"/>
  <c r="M320" i="7"/>
  <c r="H326" i="7"/>
  <c r="N326" i="7"/>
  <c r="M326" i="7"/>
  <c r="H331" i="7"/>
  <c r="N331" i="7"/>
  <c r="M331" i="7"/>
  <c r="H337" i="7"/>
  <c r="M337" i="7"/>
  <c r="N337" i="7"/>
  <c r="H374" i="7"/>
  <c r="M374" i="7"/>
  <c r="N374" i="7"/>
  <c r="H378" i="7"/>
  <c r="M378" i="7"/>
  <c r="N378" i="7"/>
  <c r="H385" i="7"/>
  <c r="N385" i="7"/>
  <c r="M385" i="7"/>
  <c r="H471" i="7"/>
  <c r="N471" i="7"/>
  <c r="M471" i="7"/>
  <c r="H514" i="7"/>
  <c r="M514" i="7"/>
  <c r="N514" i="7"/>
  <c r="G521" i="7"/>
  <c r="H546" i="7"/>
  <c r="N546" i="7"/>
  <c r="M546" i="7"/>
  <c r="H648" i="7"/>
  <c r="M648" i="7"/>
  <c r="H654" i="7"/>
  <c r="N654" i="7"/>
  <c r="M654" i="7"/>
  <c r="H660" i="7"/>
  <c r="N660" i="7"/>
  <c r="M660" i="7"/>
  <c r="H664" i="7"/>
  <c r="N664" i="7"/>
  <c r="M664" i="7"/>
  <c r="G672" i="7"/>
  <c r="L672" i="7"/>
  <c r="N66" i="7"/>
  <c r="O66" i="7" s="1"/>
  <c r="M70" i="7"/>
  <c r="N109" i="7"/>
  <c r="N123" i="7"/>
  <c r="M288" i="7"/>
  <c r="M338" i="7"/>
  <c r="H372" i="7"/>
  <c r="M372" i="7"/>
  <c r="N372" i="7"/>
  <c r="H377" i="7"/>
  <c r="N377" i="7"/>
  <c r="M377" i="7"/>
  <c r="H383" i="7"/>
  <c r="M383" i="7"/>
  <c r="N383" i="7"/>
  <c r="H470" i="7"/>
  <c r="M470" i="7"/>
  <c r="N470" i="7"/>
  <c r="H523" i="7"/>
  <c r="O523" i="7" s="1"/>
  <c r="M523" i="7"/>
  <c r="H547" i="7"/>
  <c r="M547" i="7"/>
  <c r="H550" i="7"/>
  <c r="M550" i="7"/>
  <c r="N550" i="7"/>
  <c r="H601" i="7"/>
  <c r="M601" i="7"/>
  <c r="N601" i="7"/>
  <c r="H605" i="7"/>
  <c r="N605" i="7"/>
  <c r="M605" i="7"/>
  <c r="H679" i="7"/>
  <c r="N679" i="7"/>
  <c r="M679" i="7"/>
  <c r="H683" i="7"/>
  <c r="M683" i="7"/>
  <c r="N683" i="7"/>
  <c r="H698" i="7"/>
  <c r="M698" i="7"/>
  <c r="N698" i="7"/>
  <c r="H704" i="7"/>
  <c r="N704" i="7"/>
  <c r="M704" i="7"/>
  <c r="H708" i="7"/>
  <c r="M708" i="7"/>
  <c r="N708" i="7"/>
  <c r="H732" i="7"/>
  <c r="M732" i="7"/>
  <c r="N732" i="7"/>
  <c r="H761" i="7"/>
  <c r="N761" i="7"/>
  <c r="M761" i="7"/>
  <c r="H768" i="7"/>
  <c r="M768" i="7"/>
  <c r="N768" i="7"/>
  <c r="N547" i="7"/>
  <c r="H674" i="7"/>
  <c r="N674" i="7"/>
  <c r="M674" i="7"/>
  <c r="H680" i="7"/>
  <c r="M680" i="7"/>
  <c r="N680" i="7"/>
  <c r="H733" i="7"/>
  <c r="N733" i="7"/>
  <c r="M733" i="7"/>
  <c r="H742" i="7"/>
  <c r="N742" i="7"/>
  <c r="M742" i="7"/>
  <c r="H756" i="7"/>
  <c r="M756" i="7"/>
  <c r="N756" i="7"/>
  <c r="H770" i="7"/>
  <c r="M770" i="7"/>
  <c r="N770" i="7"/>
  <c r="H779" i="7"/>
  <c r="N779" i="7"/>
  <c r="M779" i="7"/>
  <c r="L57" i="7"/>
  <c r="G76" i="7"/>
  <c r="L123" i="7"/>
  <c r="L127" i="7" s="1"/>
  <c r="L147" i="7"/>
  <c r="L150" i="7" s="1"/>
  <c r="L265" i="7"/>
  <c r="G268" i="7"/>
  <c r="L294" i="7"/>
  <c r="G464" i="7"/>
  <c r="G522" i="7"/>
  <c r="L550" i="7"/>
  <c r="G553" i="7"/>
  <c r="L664" i="7"/>
  <c r="L679" i="7"/>
  <c r="L689" i="7"/>
  <c r="G692" i="7"/>
  <c r="G703" i="7"/>
  <c r="G706" i="7"/>
  <c r="G804" i="7"/>
  <c r="H804" i="7" s="1"/>
  <c r="L328" i="7"/>
  <c r="L375" i="7"/>
  <c r="G459" i="7"/>
  <c r="G622" i="7"/>
  <c r="G630" i="7"/>
  <c r="L654" i="7"/>
  <c r="L674" i="7"/>
  <c r="G697" i="7"/>
  <c r="L13" i="7"/>
  <c r="L173" i="7"/>
  <c r="G176" i="7"/>
  <c r="L261" i="7"/>
  <c r="G264" i="7"/>
  <c r="L306" i="7"/>
  <c r="L334" i="7"/>
  <c r="G401" i="7"/>
  <c r="G518" i="7"/>
  <c r="G526" i="7"/>
  <c r="G545" i="7"/>
  <c r="G554" i="7"/>
  <c r="G566" i="7"/>
  <c r="G592" i="7"/>
  <c r="G600" i="7"/>
  <c r="G643" i="7"/>
  <c r="L648" i="7"/>
  <c r="G693" i="7"/>
  <c r="G700" i="7"/>
  <c r="G707" i="7"/>
  <c r="G712" i="7"/>
  <c r="L742" i="7"/>
  <c r="L761" i="7"/>
  <c r="L814" i="7"/>
  <c r="L768" i="7"/>
  <c r="L56" i="7"/>
  <c r="L277" i="7"/>
  <c r="L169" i="7"/>
  <c r="G172" i="7"/>
  <c r="L180" i="7"/>
  <c r="G218" i="7"/>
  <c r="G221" i="7"/>
  <c r="G256" i="7"/>
  <c r="L260" i="7"/>
  <c r="L269" i="7"/>
  <c r="G272" i="7"/>
  <c r="L276" i="7"/>
  <c r="L285" i="7"/>
  <c r="L380" i="7"/>
  <c r="G435" i="7"/>
  <c r="G448" i="7"/>
  <c r="L468" i="7"/>
  <c r="L514" i="7"/>
  <c r="L519" i="7"/>
  <c r="L523" i="7"/>
  <c r="L547" i="7"/>
  <c r="L551" i="7"/>
  <c r="L555" i="7"/>
  <c r="L601" i="7"/>
  <c r="G619" i="7"/>
  <c r="G639" i="7"/>
  <c r="G645" i="7"/>
  <c r="L660" i="7"/>
  <c r="L690" i="7"/>
  <c r="L694" i="7"/>
  <c r="L698" i="7"/>
  <c r="L704" i="7"/>
  <c r="L708" i="7"/>
  <c r="L779" i="7"/>
  <c r="L55" i="7"/>
  <c r="L257" i="7"/>
  <c r="L273" i="7"/>
  <c r="H13" i="7"/>
  <c r="O13" i="7" s="1"/>
  <c r="L732" i="7"/>
  <c r="G463" i="7"/>
  <c r="L463" i="7"/>
  <c r="L520" i="7"/>
  <c r="G520" i="7"/>
  <c r="L558" i="7"/>
  <c r="G558" i="7"/>
  <c r="L602" i="7"/>
  <c r="G602" i="7"/>
  <c r="L184" i="7"/>
  <c r="G184" i="7"/>
  <c r="L244" i="7"/>
  <c r="G244" i="7"/>
  <c r="L515" i="7"/>
  <c r="G515" i="7"/>
  <c r="L544" i="7"/>
  <c r="G544" i="7"/>
  <c r="L552" i="7"/>
  <c r="G552" i="7"/>
  <c r="L629" i="7"/>
  <c r="G629" i="7"/>
  <c r="L661" i="7"/>
  <c r="G661" i="7"/>
  <c r="L691" i="7"/>
  <c r="G691" i="7"/>
  <c r="L699" i="7"/>
  <c r="G699" i="7"/>
  <c r="L709" i="7"/>
  <c r="G709" i="7"/>
  <c r="G749" i="7"/>
  <c r="L749" i="7"/>
  <c r="G784" i="7"/>
  <c r="L784" i="7"/>
  <c r="L45" i="7"/>
  <c r="L54" i="7"/>
  <c r="N57" i="7"/>
  <c r="L64" i="7"/>
  <c r="L66" i="7"/>
  <c r="L68" i="7"/>
  <c r="L70" i="7"/>
  <c r="G84" i="7"/>
  <c r="L92" i="7"/>
  <c r="G92" i="7"/>
  <c r="L109" i="7"/>
  <c r="G141" i="7"/>
  <c r="G146" i="7"/>
  <c r="G181" i="7"/>
  <c r="L181" i="7"/>
  <c r="L258" i="7"/>
  <c r="G258" i="7"/>
  <c r="L262" i="7"/>
  <c r="G262" i="7"/>
  <c r="L274" i="7"/>
  <c r="G274" i="7"/>
  <c r="G286" i="7"/>
  <c r="L286" i="7"/>
  <c r="L608" i="7"/>
  <c r="G608" i="7"/>
  <c r="L638" i="7"/>
  <c r="G638" i="7"/>
  <c r="G23" i="7"/>
  <c r="M23" i="7" s="1"/>
  <c r="M29" i="7" s="1"/>
  <c r="G122" i="7"/>
  <c r="L185" i="7"/>
  <c r="L227" i="7"/>
  <c r="G227" i="7"/>
  <c r="G323" i="7"/>
  <c r="L323" i="7"/>
  <c r="L417" i="7"/>
  <c r="G417" i="7"/>
  <c r="L570" i="7"/>
  <c r="G570" i="7"/>
  <c r="L642" i="7"/>
  <c r="G642" i="7"/>
  <c r="L649" i="7"/>
  <c r="G649" i="7"/>
  <c r="G759" i="7"/>
  <c r="L759" i="7"/>
  <c r="L525" i="7"/>
  <c r="G525" i="7"/>
  <c r="L548" i="7"/>
  <c r="G548" i="7"/>
  <c r="L617" i="7"/>
  <c r="G617" i="7"/>
  <c r="L695" i="7"/>
  <c r="G695" i="7"/>
  <c r="L705" i="7"/>
  <c r="G705" i="7"/>
  <c r="L230" i="7"/>
  <c r="G230" i="7"/>
  <c r="L266" i="7"/>
  <c r="G266" i="7"/>
  <c r="L270" i="7"/>
  <c r="G270" i="7"/>
  <c r="L278" i="7"/>
  <c r="G278" i="7"/>
  <c r="L282" i="7"/>
  <c r="G282" i="7"/>
  <c r="L585" i="7"/>
  <c r="G585" i="7"/>
  <c r="L665" i="7"/>
  <c r="G665" i="7"/>
  <c r="G44" i="7"/>
  <c r="G50" i="7"/>
  <c r="G168" i="7"/>
  <c r="L60" i="7"/>
  <c r="L65" i="7"/>
  <c r="L67" i="7"/>
  <c r="L69" i="7"/>
  <c r="L110" i="7"/>
  <c r="L133" i="7"/>
  <c r="G133" i="7"/>
  <c r="L248" i="7"/>
  <c r="G248" i="7"/>
  <c r="G259" i="7"/>
  <c r="G263" i="7"/>
  <c r="G267" i="7"/>
  <c r="G271" i="7"/>
  <c r="G275" i="7"/>
  <c r="G279" i="7"/>
  <c r="G283" i="7"/>
  <c r="L290" i="7"/>
  <c r="G302" i="7"/>
  <c r="L302" i="7"/>
  <c r="L454" i="7"/>
  <c r="G454" i="7"/>
  <c r="L623" i="7"/>
  <c r="G623" i="7"/>
  <c r="L655" i="7"/>
  <c r="G655" i="7"/>
  <c r="L670" i="7"/>
  <c r="G670" i="7"/>
  <c r="G686" i="7"/>
  <c r="L686" i="7"/>
  <c r="L787" i="7"/>
  <c r="G787" i="7"/>
  <c r="L177" i="7"/>
  <c r="L298" i="7"/>
  <c r="L318" i="7"/>
  <c r="L340" i="7"/>
  <c r="L386" i="7"/>
  <c r="G425" i="7"/>
  <c r="L460" i="7"/>
  <c r="G483" i="7"/>
  <c r="G536" i="7"/>
  <c r="G562" i="7"/>
  <c r="G588" i="7"/>
  <c r="L680" i="7"/>
  <c r="L733" i="7"/>
  <c r="L756" i="7"/>
  <c r="N55" i="7"/>
  <c r="M60" i="7"/>
  <c r="H60" i="7"/>
  <c r="L359" i="7"/>
  <c r="G359" i="7"/>
  <c r="L452" i="7"/>
  <c r="G452" i="7"/>
  <c r="G466" i="7"/>
  <c r="L466" i="7"/>
  <c r="G494" i="7"/>
  <c r="L494" i="7"/>
  <c r="L497" i="7" s="1"/>
  <c r="L561" i="7"/>
  <c r="G561" i="7"/>
  <c r="L578" i="7"/>
  <c r="G578" i="7"/>
  <c r="L632" i="7"/>
  <c r="G632" i="7"/>
  <c r="L724" i="7"/>
  <c r="G724" i="7"/>
  <c r="L14" i="7"/>
  <c r="L35" i="7"/>
  <c r="G43" i="7"/>
  <c r="G48" i="7"/>
  <c r="G82" i="7"/>
  <c r="G112" i="7"/>
  <c r="G139" i="7"/>
  <c r="G167" i="7"/>
  <c r="G179" i="7"/>
  <c r="G187" i="7"/>
  <c r="L289" i="7"/>
  <c r="L293" i="7"/>
  <c r="L297" i="7"/>
  <c r="L301" i="7"/>
  <c r="L305" i="7"/>
  <c r="L309" i="7"/>
  <c r="L321" i="7"/>
  <c r="L327" i="7"/>
  <c r="L333" i="7"/>
  <c r="L338" i="7"/>
  <c r="G347" i="7"/>
  <c r="L352" i="7"/>
  <c r="G352" i="7"/>
  <c r="G363" i="7"/>
  <c r="G367" i="7"/>
  <c r="L374" i="7"/>
  <c r="L378" i="7"/>
  <c r="L385" i="7"/>
  <c r="L405" i="7"/>
  <c r="G405" i="7"/>
  <c r="G456" i="7"/>
  <c r="L461" i="7"/>
  <c r="G461" i="7"/>
  <c r="L471" i="7"/>
  <c r="L486" i="7"/>
  <c r="G486" i="7"/>
  <c r="L535" i="7"/>
  <c r="G535" i="7"/>
  <c r="G540" i="7"/>
  <c r="L567" i="7"/>
  <c r="G567" i="7"/>
  <c r="L576" i="7"/>
  <c r="G576" i="7"/>
  <c r="L579" i="7"/>
  <c r="G579" i="7"/>
  <c r="G628" i="7"/>
  <c r="L637" i="7"/>
  <c r="G637" i="7"/>
  <c r="G678" i="7"/>
  <c r="G682" i="7"/>
  <c r="L725" i="7"/>
  <c r="G725" i="7"/>
  <c r="L730" i="7"/>
  <c r="G730" i="7"/>
  <c r="G734" i="7"/>
  <c r="L734" i="7"/>
  <c r="G754" i="7"/>
  <c r="L754" i="7"/>
  <c r="G762" i="7"/>
  <c r="L762" i="7"/>
  <c r="G780" i="7"/>
  <c r="L780" i="7"/>
  <c r="L640" i="7"/>
  <c r="G640" i="7"/>
  <c r="L16" i="7"/>
  <c r="L26" i="7"/>
  <c r="G34" i="7"/>
  <c r="H34" i="7" s="1"/>
  <c r="N60" i="7"/>
  <c r="G126" i="7"/>
  <c r="G149" i="7"/>
  <c r="G171" i="7"/>
  <c r="G175" i="7"/>
  <c r="G183" i="7"/>
  <c r="G47" i="7"/>
  <c r="G97" i="7"/>
  <c r="G137" i="7"/>
  <c r="G148" i="7"/>
  <c r="G170" i="7"/>
  <c r="G174" i="7"/>
  <c r="G178" i="7"/>
  <c r="G182" i="7"/>
  <c r="G186" i="7"/>
  <c r="G217" i="7"/>
  <c r="G222" i="7"/>
  <c r="G225" i="7"/>
  <c r="G231" i="7"/>
  <c r="G235" i="7"/>
  <c r="G240" i="7"/>
  <c r="G243" i="7"/>
  <c r="G249" i="7"/>
  <c r="G253" i="7"/>
  <c r="L288" i="7"/>
  <c r="L292" i="7"/>
  <c r="L296" i="7"/>
  <c r="L300" i="7"/>
  <c r="L304" i="7"/>
  <c r="L308" i="7"/>
  <c r="L320" i="7"/>
  <c r="L326" i="7"/>
  <c r="L331" i="7"/>
  <c r="L337" i="7"/>
  <c r="L348" i="7"/>
  <c r="G348" i="7"/>
  <c r="L372" i="7"/>
  <c r="L377" i="7"/>
  <c r="L383" i="7"/>
  <c r="L393" i="7"/>
  <c r="G393" i="7"/>
  <c r="G447" i="7"/>
  <c r="L447" i="7"/>
  <c r="L449" i="7"/>
  <c r="G453" i="7"/>
  <c r="G467" i="7"/>
  <c r="G482" i="7"/>
  <c r="L482" i="7"/>
  <c r="L484" i="7" s="1"/>
  <c r="L487" i="7"/>
  <c r="G487" i="7"/>
  <c r="G495" i="7"/>
  <c r="L532" i="7"/>
  <c r="G532" i="7"/>
  <c r="L559" i="7"/>
  <c r="G559" i="7"/>
  <c r="L571" i="7"/>
  <c r="G571" i="7"/>
  <c r="L577" i="7"/>
  <c r="G577" i="7"/>
  <c r="L582" i="7"/>
  <c r="G582" i="7"/>
  <c r="L621" i="7"/>
  <c r="G621" i="7"/>
  <c r="L658" i="7"/>
  <c r="G658" i="7"/>
  <c r="L662" i="7"/>
  <c r="G662" i="7"/>
  <c r="L581" i="7"/>
  <c r="G581" i="7"/>
  <c r="L593" i="7"/>
  <c r="G593" i="7"/>
  <c r="L604" i="7"/>
  <c r="G604" i="7"/>
  <c r="L728" i="7"/>
  <c r="G728" i="7"/>
  <c r="G747" i="7"/>
  <c r="L747" i="7"/>
  <c r="L783" i="7"/>
  <c r="G783" i="7"/>
  <c r="G90" i="7"/>
  <c r="G99" i="7"/>
  <c r="G108" i="7"/>
  <c r="G116" i="7"/>
  <c r="G131" i="7"/>
  <c r="H14" i="7"/>
  <c r="M15" i="7"/>
  <c r="H16" i="7"/>
  <c r="L21" i="7"/>
  <c r="G42" i="7"/>
  <c r="H57" i="7"/>
  <c r="G58" i="7"/>
  <c r="M58" i="7" s="1"/>
  <c r="G59" i="7"/>
  <c r="M59" i="7" s="1"/>
  <c r="G80" i="7"/>
  <c r="G88" i="7"/>
  <c r="G107" i="7"/>
  <c r="G111" i="7"/>
  <c r="G124" i="7"/>
  <c r="N14" i="7"/>
  <c r="N16" i="7"/>
  <c r="O16" i="7" s="1"/>
  <c r="L40" i="7"/>
  <c r="G78" i="7"/>
  <c r="G86" i="7"/>
  <c r="G94" i="7"/>
  <c r="G103" i="7"/>
  <c r="L287" i="7"/>
  <c r="L291" i="7"/>
  <c r="L295" i="7"/>
  <c r="L299" i="7"/>
  <c r="L303" i="7"/>
  <c r="L307" i="7"/>
  <c r="L319" i="7"/>
  <c r="L325" i="7"/>
  <c r="L330" i="7"/>
  <c r="L335" i="7"/>
  <c r="G353" i="7"/>
  <c r="G358" i="7"/>
  <c r="L362" i="7"/>
  <c r="G362" i="7"/>
  <c r="L371" i="7"/>
  <c r="L376" i="7"/>
  <c r="L381" i="7"/>
  <c r="G411" i="7"/>
  <c r="L442" i="7"/>
  <c r="G442" i="7"/>
  <c r="L451" i="7"/>
  <c r="G455" i="7"/>
  <c r="L455" i="7"/>
  <c r="L457" i="7"/>
  <c r="G491" i="7"/>
  <c r="L499" i="7"/>
  <c r="G499" i="7"/>
  <c r="L580" i="7"/>
  <c r="G580" i="7"/>
  <c r="L589" i="7"/>
  <c r="G589" i="7"/>
  <c r="L603" i="7"/>
  <c r="G603" i="7"/>
  <c r="G609" i="7"/>
  <c r="L612" i="7"/>
  <c r="G612" i="7"/>
  <c r="L618" i="7"/>
  <c r="G618" i="7"/>
  <c r="G651" i="7"/>
  <c r="L659" i="7"/>
  <c r="G659" i="7"/>
  <c r="L591" i="7"/>
  <c r="G591" i="7"/>
  <c r="L644" i="7"/>
  <c r="G644" i="7"/>
  <c r="L669" i="7"/>
  <c r="G669" i="7"/>
  <c r="L478" i="7"/>
  <c r="L480" i="7" s="1"/>
  <c r="G478" i="7"/>
  <c r="L490" i="7"/>
  <c r="G490" i="7"/>
  <c r="L507" i="7"/>
  <c r="G507" i="7"/>
  <c r="L539" i="7"/>
  <c r="G539" i="7"/>
  <c r="L563" i="7"/>
  <c r="G563" i="7"/>
  <c r="L597" i="7"/>
  <c r="G597" i="7"/>
  <c r="L626" i="7"/>
  <c r="G626" i="7"/>
  <c r="G641" i="7"/>
  <c r="L650" i="7"/>
  <c r="G650" i="7"/>
  <c r="G663" i="7"/>
  <c r="L676" i="7"/>
  <c r="G676" i="7"/>
  <c r="L681" i="7"/>
  <c r="G681" i="7"/>
  <c r="L687" i="7"/>
  <c r="G687" i="7"/>
  <c r="L726" i="7"/>
  <c r="G726" i="7"/>
  <c r="L723" i="7"/>
  <c r="G723" i="7"/>
  <c r="L727" i="7"/>
  <c r="G727" i="7"/>
  <c r="G741" i="7"/>
  <c r="L741" i="7"/>
  <c r="N815" i="7"/>
  <c r="L788" i="7"/>
  <c r="L815" i="7"/>
  <c r="L816" i="7" s="1"/>
  <c r="H35" i="7"/>
  <c r="N35" i="7"/>
  <c r="M35" i="7"/>
  <c r="L117" i="7"/>
  <c r="G117" i="7"/>
  <c r="L200" i="7"/>
  <c r="G200" i="7"/>
  <c r="L238" i="7"/>
  <c r="G238" i="7"/>
  <c r="G33" i="7"/>
  <c r="L37" i="7"/>
  <c r="L49" i="7"/>
  <c r="G49" i="7"/>
  <c r="L77" i="7"/>
  <c r="G77" i="7"/>
  <c r="L85" i="7"/>
  <c r="G85" i="7"/>
  <c r="L91" i="7"/>
  <c r="G91" i="7"/>
  <c r="L98" i="7"/>
  <c r="G98" i="7"/>
  <c r="L192" i="7"/>
  <c r="G192" i="7"/>
  <c r="G196" i="7"/>
  <c r="L201" i="7"/>
  <c r="G201" i="7"/>
  <c r="L205" i="7"/>
  <c r="G205" i="7"/>
  <c r="L210" i="7"/>
  <c r="G210" i="7"/>
  <c r="L215" i="7"/>
  <c r="G215" i="7"/>
  <c r="L314" i="7"/>
  <c r="G314" i="7"/>
  <c r="L785" i="7"/>
  <c r="G785" i="7"/>
  <c r="L195" i="7"/>
  <c r="G195" i="7"/>
  <c r="L204" i="7"/>
  <c r="G204" i="7"/>
  <c r="L213" i="7"/>
  <c r="G213" i="7"/>
  <c r="L229" i="7"/>
  <c r="G229" i="7"/>
  <c r="L505" i="7"/>
  <c r="G505" i="7"/>
  <c r="L530" i="7"/>
  <c r="G530" i="7"/>
  <c r="H38" i="7"/>
  <c r="N38" i="7"/>
  <c r="L74" i="7"/>
  <c r="G74" i="7"/>
  <c r="L79" i="7"/>
  <c r="G79" i="7"/>
  <c r="L83" i="7"/>
  <c r="G83" i="7"/>
  <c r="L89" i="7"/>
  <c r="G89" i="7"/>
  <c r="L95" i="7"/>
  <c r="G95" i="7"/>
  <c r="L104" i="7"/>
  <c r="L105" i="7" s="1"/>
  <c r="G104" i="7"/>
  <c r="L15" i="7"/>
  <c r="L38" i="7"/>
  <c r="N56" i="7"/>
  <c r="H56" i="7"/>
  <c r="L193" i="7"/>
  <c r="G193" i="7"/>
  <c r="L198" i="7"/>
  <c r="G198" i="7"/>
  <c r="L202" i="7"/>
  <c r="G202" i="7"/>
  <c r="L207" i="7"/>
  <c r="G207" i="7"/>
  <c r="L211" i="7"/>
  <c r="G211" i="7"/>
  <c r="L216" i="7"/>
  <c r="G216" i="7"/>
  <c r="L224" i="7"/>
  <c r="G224" i="7"/>
  <c r="L234" i="7"/>
  <c r="G234" i="7"/>
  <c r="L242" i="7"/>
  <c r="G242" i="7"/>
  <c r="L252" i="7"/>
  <c r="G252" i="7"/>
  <c r="L586" i="7"/>
  <c r="G586" i="7"/>
  <c r="L595" i="7"/>
  <c r="G595" i="7"/>
  <c r="H37" i="7"/>
  <c r="N37" i="7"/>
  <c r="L115" i="7"/>
  <c r="G115" i="7"/>
  <c r="L209" i="7"/>
  <c r="G209" i="7"/>
  <c r="L220" i="7"/>
  <c r="G220" i="7"/>
  <c r="L247" i="7"/>
  <c r="G247" i="7"/>
  <c r="L20" i="7"/>
  <c r="L25" i="7"/>
  <c r="L81" i="7"/>
  <c r="G81" i="7"/>
  <c r="L87" i="7"/>
  <c r="G87" i="7"/>
  <c r="L93" i="7"/>
  <c r="G93" i="7"/>
  <c r="L28" i="7"/>
  <c r="G32" i="7"/>
  <c r="H39" i="7"/>
  <c r="N39" i="7"/>
  <c r="L22" i="7"/>
  <c r="L27" i="7"/>
  <c r="M38" i="7"/>
  <c r="L39" i="7"/>
  <c r="H40" i="7"/>
  <c r="N40" i="7"/>
  <c r="N54" i="7"/>
  <c r="H54" i="7"/>
  <c r="L130" i="7"/>
  <c r="G130" i="7"/>
  <c r="L132" i="7"/>
  <c r="G132" i="7"/>
  <c r="L138" i="7"/>
  <c r="G138" i="7"/>
  <c r="L140" i="7"/>
  <c r="G140" i="7"/>
  <c r="L142" i="7"/>
  <c r="G142" i="7"/>
  <c r="L194" i="7"/>
  <c r="G194" i="7"/>
  <c r="L199" i="7"/>
  <c r="G199" i="7"/>
  <c r="L203" i="7"/>
  <c r="G203" i="7"/>
  <c r="L208" i="7"/>
  <c r="G208" i="7"/>
  <c r="L212" i="7"/>
  <c r="G212" i="7"/>
  <c r="L154" i="7"/>
  <c r="G154" i="7"/>
  <c r="L157" i="7"/>
  <c r="G157" i="7"/>
  <c r="L160" i="7"/>
  <c r="G160" i="7"/>
  <c r="L163" i="7"/>
  <c r="G163" i="7"/>
  <c r="L391" i="7"/>
  <c r="G391" i="7"/>
  <c r="L397" i="7"/>
  <c r="G397" i="7"/>
  <c r="L403" i="7"/>
  <c r="G403" i="7"/>
  <c r="L407" i="7"/>
  <c r="G407" i="7"/>
  <c r="L415" i="7"/>
  <c r="G415" i="7"/>
  <c r="L421" i="7"/>
  <c r="G421" i="7"/>
  <c r="L431" i="7"/>
  <c r="G431" i="7"/>
  <c r="L437" i="7"/>
  <c r="G437" i="7"/>
  <c r="L568" i="7"/>
  <c r="G568" i="7"/>
  <c r="L572" i="7"/>
  <c r="G572" i="7"/>
  <c r="G744" i="7"/>
  <c r="L744" i="7"/>
  <c r="G750" i="7"/>
  <c r="L750" i="7"/>
  <c r="G477" i="7"/>
  <c r="L489" i="7"/>
  <c r="G489" i="7"/>
  <c r="G503" i="7"/>
  <c r="L537" i="7"/>
  <c r="G537" i="7"/>
  <c r="L541" i="7"/>
  <c r="G541" i="7"/>
  <c r="G565" i="7"/>
  <c r="L569" i="7"/>
  <c r="G569" i="7"/>
  <c r="G746" i="7"/>
  <c r="L746" i="7"/>
  <c r="G800" i="7"/>
  <c r="G808" i="7"/>
  <c r="L346" i="7"/>
  <c r="G346" i="7"/>
  <c r="L350" i="7"/>
  <c r="G350" i="7"/>
  <c r="L356" i="7"/>
  <c r="G356" i="7"/>
  <c r="L361" i="7"/>
  <c r="G361" i="7"/>
  <c r="L366" i="7"/>
  <c r="G366" i="7"/>
  <c r="H55" i="7"/>
  <c r="L143" i="7"/>
  <c r="G143" i="7"/>
  <c r="L153" i="7"/>
  <c r="G153" i="7"/>
  <c r="L155" i="7"/>
  <c r="G155" i="7"/>
  <c r="L159" i="7"/>
  <c r="G159" i="7"/>
  <c r="L162" i="7"/>
  <c r="G162" i="7"/>
  <c r="L164" i="7"/>
  <c r="G164" i="7"/>
  <c r="L313" i="7"/>
  <c r="G313" i="7"/>
  <c r="G392" i="7"/>
  <c r="G400" i="7"/>
  <c r="G404" i="7"/>
  <c r="G410" i="7"/>
  <c r="G416" i="7"/>
  <c r="G422" i="7"/>
  <c r="G434" i="7"/>
  <c r="G438" i="7"/>
  <c r="G501" i="7"/>
  <c r="G509" i="7"/>
  <c r="G534" i="7"/>
  <c r="L538" i="7"/>
  <c r="G538" i="7"/>
  <c r="L789" i="7"/>
  <c r="G789" i="7"/>
  <c r="L560" i="7"/>
  <c r="G560" i="7"/>
  <c r="L590" i="7"/>
  <c r="G590" i="7"/>
  <c r="L718" i="7"/>
  <c r="G718" i="7"/>
  <c r="L781" i="7"/>
  <c r="G781" i="7"/>
  <c r="G219" i="7"/>
  <c r="G223" i="7"/>
  <c r="G228" i="7"/>
  <c r="G232" i="7"/>
  <c r="G237" i="7"/>
  <c r="G241" i="7"/>
  <c r="G246" i="7"/>
  <c r="G251" i="7"/>
  <c r="G312" i="7"/>
  <c r="G345" i="7"/>
  <c r="G349" i="7"/>
  <c r="G355" i="7"/>
  <c r="G360" i="7"/>
  <c r="G364" i="7"/>
  <c r="G390" i="7"/>
  <c r="G394" i="7"/>
  <c r="G402" i="7"/>
  <c r="G406" i="7"/>
  <c r="G414" i="7"/>
  <c r="G418" i="7"/>
  <c r="G428" i="7"/>
  <c r="G436" i="7"/>
  <c r="G443" i="7"/>
  <c r="G479" i="7"/>
  <c r="G488" i="7"/>
  <c r="G500" i="7"/>
  <c r="G502" i="7"/>
  <c r="G504" i="7"/>
  <c r="G506" i="7"/>
  <c r="G508" i="7"/>
  <c r="G510" i="7"/>
  <c r="G529" i="7"/>
  <c r="G531" i="7"/>
  <c r="G533" i="7"/>
  <c r="L564" i="7"/>
  <c r="G564" i="7"/>
  <c r="G573" i="7"/>
  <c r="G587" i="7"/>
  <c r="L594" i="7"/>
  <c r="G594" i="7"/>
  <c r="G611" i="7"/>
  <c r="L719" i="7"/>
  <c r="G719" i="7"/>
  <c r="L767" i="7"/>
  <c r="L774" i="7"/>
  <c r="G794" i="7"/>
  <c r="L794" i="7"/>
  <c r="L795" i="7" s="1"/>
  <c r="G802" i="7"/>
  <c r="G806" i="7"/>
  <c r="G810" i="7"/>
  <c r="N810" i="7" s="1"/>
  <c r="L613" i="7"/>
  <c r="G613" i="7"/>
  <c r="G757" i="7"/>
  <c r="L757" i="7"/>
  <c r="M815" i="7"/>
  <c r="H815" i="7"/>
  <c r="G735" i="7"/>
  <c r="L735" i="7"/>
  <c r="L752" i="7"/>
  <c r="G765" i="7"/>
  <c r="L765" i="7"/>
  <c r="G772" i="7"/>
  <c r="L772" i="7"/>
  <c r="G778" i="7"/>
  <c r="G782" i="7"/>
  <c r="G786" i="7"/>
  <c r="G790" i="7"/>
  <c r="L811" i="7"/>
  <c r="L812" i="7" s="1"/>
  <c r="G811" i="7"/>
  <c r="M814" i="7"/>
  <c r="H814" i="7"/>
  <c r="L770" i="7"/>
  <c r="G799" i="7"/>
  <c r="G801" i="7"/>
  <c r="N801" i="7" s="1"/>
  <c r="G803" i="7"/>
  <c r="N803" i="7" s="1"/>
  <c r="G805" i="7"/>
  <c r="N805" i="7" s="1"/>
  <c r="G807" i="7"/>
  <c r="G809" i="7"/>
  <c r="N809" i="7" s="1"/>
  <c r="N814" i="7"/>
  <c r="G57" i="6"/>
  <c r="G58" i="6"/>
  <c r="G59" i="6"/>
  <c r="G60" i="6"/>
  <c r="G56" i="6"/>
  <c r="G40" i="6"/>
  <c r="G41" i="6"/>
  <c r="G42" i="6"/>
  <c r="G39" i="6"/>
  <c r="G35" i="6"/>
  <c r="G36" i="6"/>
  <c r="G37" i="6"/>
  <c r="G34" i="6"/>
  <c r="O706" i="8" l="1"/>
  <c r="O526" i="8"/>
  <c r="O605" i="8"/>
  <c r="P801" i="8"/>
  <c r="O428" i="8"/>
  <c r="O429" i="8" s="1"/>
  <c r="O648" i="8"/>
  <c r="O508" i="8"/>
  <c r="P428" i="8"/>
  <c r="P196" i="8"/>
  <c r="P107" i="8"/>
  <c r="M652" i="8"/>
  <c r="P299" i="8"/>
  <c r="P407" i="8"/>
  <c r="P706" i="8"/>
  <c r="P251" i="8"/>
  <c r="O434" i="8"/>
  <c r="O459" i="8"/>
  <c r="P425" i="8"/>
  <c r="O290" i="8"/>
  <c r="H497" i="8"/>
  <c r="P497" i="8" s="1"/>
  <c r="O431" i="8"/>
  <c r="O432" i="8" s="1"/>
  <c r="O445" i="8"/>
  <c r="P418" i="8"/>
  <c r="O662" i="8"/>
  <c r="O92" i="8"/>
  <c r="P97" i="8"/>
  <c r="N606" i="8"/>
  <c r="P391" i="8"/>
  <c r="P209" i="8"/>
  <c r="P380" i="8"/>
  <c r="O460" i="8"/>
  <c r="O298" i="8"/>
  <c r="P296" i="8"/>
  <c r="O577" i="8"/>
  <c r="O380" i="8"/>
  <c r="O175" i="8"/>
  <c r="P519" i="8"/>
  <c r="O601" i="8"/>
  <c r="P460" i="8"/>
  <c r="P390" i="8"/>
  <c r="P747" i="8"/>
  <c r="O741" i="8"/>
  <c r="O130" i="8"/>
  <c r="O649" i="8"/>
  <c r="O108" i="8"/>
  <c r="O747" i="8"/>
  <c r="O99" i="8"/>
  <c r="O171" i="8"/>
  <c r="O137" i="8"/>
  <c r="O470" i="8"/>
  <c r="M408" i="8"/>
  <c r="P149" i="8"/>
  <c r="O547" i="8"/>
  <c r="P204" i="8"/>
  <c r="P319" i="8"/>
  <c r="P670" i="8"/>
  <c r="H511" i="8"/>
  <c r="P587" i="8"/>
  <c r="P514" i="8"/>
  <c r="P500" i="8"/>
  <c r="O502" i="8"/>
  <c r="P37" i="8"/>
  <c r="O133" i="8"/>
  <c r="O600" i="8"/>
  <c r="O297" i="8"/>
  <c r="P222" i="8"/>
  <c r="P580" i="8"/>
  <c r="O327" i="8"/>
  <c r="P521" i="8"/>
  <c r="P323" i="8"/>
  <c r="O682" i="8"/>
  <c r="O201" i="8"/>
  <c r="O520" i="8"/>
  <c r="O437" i="8"/>
  <c r="P87" i="8"/>
  <c r="P467" i="8"/>
  <c r="P417" i="8"/>
  <c r="P488" i="8"/>
  <c r="O210" i="8"/>
  <c r="P334" i="8"/>
  <c r="O326" i="8"/>
  <c r="O482" i="8"/>
  <c r="O484" i="8" s="1"/>
  <c r="O704" i="8"/>
  <c r="O391" i="8"/>
  <c r="O500" i="8"/>
  <c r="O545" i="8"/>
  <c r="O551" i="8"/>
  <c r="O450" i="8"/>
  <c r="P499" i="8"/>
  <c r="P603" i="8"/>
  <c r="P733" i="8"/>
  <c r="P518" i="8"/>
  <c r="P306" i="8"/>
  <c r="P734" i="8"/>
  <c r="P252" i="8"/>
  <c r="H439" i="8"/>
  <c r="P439" i="8" s="1"/>
  <c r="O503" i="8"/>
  <c r="O499" i="8"/>
  <c r="O209" i="8"/>
  <c r="O603" i="8"/>
  <c r="O591" i="8"/>
  <c r="H606" i="8"/>
  <c r="O204" i="8"/>
  <c r="O411" i="8"/>
  <c r="O412" i="8" s="1"/>
  <c r="P411" i="8"/>
  <c r="P502" i="8"/>
  <c r="O742" i="8"/>
  <c r="O393" i="8"/>
  <c r="O719" i="8"/>
  <c r="O587" i="8"/>
  <c r="O302" i="8"/>
  <c r="O510" i="8"/>
  <c r="O402" i="8"/>
  <c r="H527" i="8"/>
  <c r="P415" i="8"/>
  <c r="P717" i="8"/>
  <c r="O308" i="8"/>
  <c r="O319" i="8"/>
  <c r="M527" i="8"/>
  <c r="O514" i="8"/>
  <c r="P456" i="8"/>
  <c r="P305" i="8"/>
  <c r="O287" i="8"/>
  <c r="O576" i="8"/>
  <c r="O203" i="8"/>
  <c r="N17" i="8"/>
  <c r="O651" i="8"/>
  <c r="O300" i="8"/>
  <c r="O305" i="8"/>
  <c r="P91" i="8"/>
  <c r="P15" i="8"/>
  <c r="O401" i="8"/>
  <c r="O454" i="8"/>
  <c r="P184" i="8"/>
  <c r="O734" i="8"/>
  <c r="P400" i="8"/>
  <c r="P768" i="8"/>
  <c r="P286" i="8"/>
  <c r="O670" i="8"/>
  <c r="P14" i="8"/>
  <c r="P800" i="8"/>
  <c r="P359" i="8"/>
  <c r="H583" i="8"/>
  <c r="M737" i="8"/>
  <c r="H395" i="8"/>
  <c r="O252" i="8"/>
  <c r="P321" i="8"/>
  <c r="H710" i="8"/>
  <c r="P338" i="8"/>
  <c r="P489" i="8"/>
  <c r="P192" i="8"/>
  <c r="P142" i="8"/>
  <c r="P140" i="8"/>
  <c r="O251" i="8"/>
  <c r="O407" i="8"/>
  <c r="O330" i="8"/>
  <c r="P253" i="8"/>
  <c r="P708" i="8"/>
  <c r="P453" i="8"/>
  <c r="H419" i="8"/>
  <c r="P223" i="8"/>
  <c r="O303" i="8"/>
  <c r="O746" i="8"/>
  <c r="P130" i="8"/>
  <c r="H423" i="8"/>
  <c r="P423" i="8" s="1"/>
  <c r="P386" i="8"/>
  <c r="O386" i="8"/>
  <c r="O180" i="8"/>
  <c r="O659" i="8"/>
  <c r="O216" i="8"/>
  <c r="O140" i="8"/>
  <c r="P307" i="8"/>
  <c r="O403" i="8"/>
  <c r="N134" i="8"/>
  <c r="P134" i="8" s="1"/>
  <c r="H666" i="8"/>
  <c r="H408" i="8"/>
  <c r="P606" i="8"/>
  <c r="O708" i="8"/>
  <c r="P809" i="8"/>
  <c r="O142" i="8"/>
  <c r="P168" i="8"/>
  <c r="P330" i="8"/>
  <c r="O192" i="8"/>
  <c r="M395" i="8"/>
  <c r="P503" i="8"/>
  <c r="H720" i="8"/>
  <c r="O421" i="8"/>
  <c r="O423" i="8" s="1"/>
  <c r="O656" i="8"/>
  <c r="H542" i="8"/>
  <c r="P542" i="8" s="1"/>
  <c r="O291" i="8"/>
  <c r="H492" i="8"/>
  <c r="H652" i="8"/>
  <c r="P652" i="8" s="1"/>
  <c r="O678" i="8"/>
  <c r="P92" i="8"/>
  <c r="P397" i="8"/>
  <c r="P246" i="8"/>
  <c r="P187" i="8"/>
  <c r="N511" i="8"/>
  <c r="P393" i="8"/>
  <c r="M423" i="8"/>
  <c r="O466" i="8"/>
  <c r="O288" i="8"/>
  <c r="O425" i="8"/>
  <c r="O426" i="8" s="1"/>
  <c r="P360" i="8"/>
  <c r="N408" i="8"/>
  <c r="H684" i="8"/>
  <c r="P55" i="8"/>
  <c r="O299" i="8"/>
  <c r="O104" i="8"/>
  <c r="O58" i="8"/>
  <c r="O223" i="8"/>
  <c r="P88" i="8"/>
  <c r="P303" i="8"/>
  <c r="M583" i="8"/>
  <c r="P111" i="8"/>
  <c r="P213" i="8"/>
  <c r="O253" i="8"/>
  <c r="P294" i="8"/>
  <c r="O97" i="8"/>
  <c r="P719" i="8"/>
  <c r="P449" i="8"/>
  <c r="O325" i="8"/>
  <c r="O340" i="8"/>
  <c r="M556" i="8"/>
  <c r="O296" i="8"/>
  <c r="O286" i="8"/>
  <c r="P358" i="8"/>
  <c r="P804" i="8"/>
  <c r="P574" i="8"/>
  <c r="P808" i="8"/>
  <c r="P815" i="8"/>
  <c r="O110" i="8"/>
  <c r="O321" i="8"/>
  <c r="O294" i="8"/>
  <c r="H472" i="8"/>
  <c r="O111" i="8"/>
  <c r="O89" i="8"/>
  <c r="P132" i="8"/>
  <c r="P325" i="8"/>
  <c r="P301" i="8"/>
  <c r="N472" i="8"/>
  <c r="H113" i="8"/>
  <c r="P205" i="8"/>
  <c r="P318" i="8"/>
  <c r="N113" i="8"/>
  <c r="O328" i="8"/>
  <c r="O81" i="8"/>
  <c r="O148" i="8"/>
  <c r="P195" i="8"/>
  <c r="P293" i="8"/>
  <c r="H387" i="8"/>
  <c r="L634" i="8"/>
  <c r="H556" i="8"/>
  <c r="P556" i="8" s="1"/>
  <c r="O323" i="8"/>
  <c r="O504" i="8"/>
  <c r="O213" i="8"/>
  <c r="O665" i="8"/>
  <c r="O435" i="8"/>
  <c r="P646" i="8"/>
  <c r="P546" i="8"/>
  <c r="P340" i="8"/>
  <c r="P806" i="8"/>
  <c r="O794" i="8"/>
  <c r="O795" i="8" s="1"/>
  <c r="P412" i="8"/>
  <c r="O307" i="8"/>
  <c r="O449" i="8"/>
  <c r="H188" i="8"/>
  <c r="O488" i="8"/>
  <c r="P447" i="8"/>
  <c r="P767" i="8"/>
  <c r="P44" i="8"/>
  <c r="O98" i="8"/>
  <c r="P82" i="8"/>
  <c r="P94" i="8"/>
  <c r="P81" i="8"/>
  <c r="P162" i="8"/>
  <c r="O334" i="8"/>
  <c r="P243" i="8"/>
  <c r="P193" i="8"/>
  <c r="P244" i="8"/>
  <c r="L135" i="8"/>
  <c r="H150" i="8"/>
  <c r="O205" i="8"/>
  <c r="O195" i="8"/>
  <c r="P328" i="8"/>
  <c r="H341" i="8"/>
  <c r="O293" i="8"/>
  <c r="P148" i="8"/>
  <c r="P262" i="8"/>
  <c r="P619" i="8"/>
  <c r="P242" i="8"/>
  <c r="P79" i="8"/>
  <c r="P703" i="8"/>
  <c r="O199" i="8"/>
  <c r="O333" i="8"/>
  <c r="P247" i="8"/>
  <c r="P315" i="8"/>
  <c r="P20" i="8"/>
  <c r="P707" i="8"/>
  <c r="P208" i="8"/>
  <c r="P491" i="8"/>
  <c r="O149" i="8"/>
  <c r="P65" i="8"/>
  <c r="O338" i="8"/>
  <c r="P49" i="8"/>
  <c r="O247" i="8"/>
  <c r="P327" i="8"/>
  <c r="O506" i="8"/>
  <c r="O306" i="8"/>
  <c r="O521" i="8"/>
  <c r="O703" i="8"/>
  <c r="O717" i="8"/>
  <c r="O720" i="8" s="1"/>
  <c r="O318" i="8"/>
  <c r="O112" i="8"/>
  <c r="N720" i="8"/>
  <c r="O415" i="8"/>
  <c r="O88" i="8"/>
  <c r="O400" i="8"/>
  <c r="N395" i="8"/>
  <c r="P759" i="8"/>
  <c r="O768" i="8"/>
  <c r="O767" i="8"/>
  <c r="M511" i="8"/>
  <c r="M439" i="8"/>
  <c r="M188" i="8"/>
  <c r="N666" i="8"/>
  <c r="O705" i="8"/>
  <c r="O490" i="8"/>
  <c r="O217" i="8"/>
  <c r="P662" i="8"/>
  <c r="P398" i="8"/>
  <c r="P28" i="8"/>
  <c r="O375" i="8"/>
  <c r="P215" i="8"/>
  <c r="O215" i="8"/>
  <c r="P116" i="8"/>
  <c r="P345" i="8"/>
  <c r="P364" i="8"/>
  <c r="P693" i="8"/>
  <c r="P117" i="8"/>
  <c r="P762" i="8"/>
  <c r="P174" i="8"/>
  <c r="P141" i="8"/>
  <c r="P22" i="8"/>
  <c r="P337" i="8"/>
  <c r="P40" i="8"/>
  <c r="O40" i="8"/>
  <c r="P237" i="8"/>
  <c r="P352" i="8"/>
  <c r="P238" i="8"/>
  <c r="P153" i="8"/>
  <c r="P207" i="8"/>
  <c r="P239" i="8"/>
  <c r="P264" i="8"/>
  <c r="P350" i="8"/>
  <c r="P378" i="8"/>
  <c r="P597" i="8"/>
  <c r="P124" i="8"/>
  <c r="P86" i="8"/>
  <c r="P220" i="8"/>
  <c r="P77" i="8"/>
  <c r="O147" i="8"/>
  <c r="P583" i="8"/>
  <c r="P50" i="8"/>
  <c r="P112" i="8"/>
  <c r="N710" i="8"/>
  <c r="O448" i="8"/>
  <c r="P448" i="8"/>
  <c r="M472" i="8"/>
  <c r="M492" i="8"/>
  <c r="O518" i="8"/>
  <c r="P199" i="8"/>
  <c r="P333" i="8"/>
  <c r="O418" i="8"/>
  <c r="P506" i="8"/>
  <c r="O26" i="8"/>
  <c r="N419" i="8"/>
  <c r="O707" i="8"/>
  <c r="N527" i="8"/>
  <c r="P527" i="8" s="1"/>
  <c r="O301" i="8"/>
  <c r="O646" i="8"/>
  <c r="O581" i="8"/>
  <c r="P176" i="8"/>
  <c r="P292" i="8"/>
  <c r="P289" i="8"/>
  <c r="O49" i="8"/>
  <c r="P581" i="8"/>
  <c r="P177" i="8"/>
  <c r="M29" i="8"/>
  <c r="N341" i="8"/>
  <c r="O146" i="8"/>
  <c r="P54" i="8"/>
  <c r="N150" i="8"/>
  <c r="P210" i="8"/>
  <c r="O208" i="8"/>
  <c r="O337" i="8"/>
  <c r="O491" i="8"/>
  <c r="P375" i="8"/>
  <c r="P154" i="8"/>
  <c r="P236" i="8"/>
  <c r="P261" i="8"/>
  <c r="P361" i="8"/>
  <c r="P139" i="8"/>
  <c r="P807" i="8"/>
  <c r="O21" i="8"/>
  <c r="O20" i="8"/>
  <c r="P608" i="8"/>
  <c r="O25" i="8"/>
  <c r="O28" i="8"/>
  <c r="P27" i="8"/>
  <c r="P147" i="8"/>
  <c r="P198" i="8"/>
  <c r="P258" i="8"/>
  <c r="P347" i="8"/>
  <c r="P374" i="8"/>
  <c r="P202" i="8"/>
  <c r="P234" i="8"/>
  <c r="P263" i="8"/>
  <c r="P348" i="8"/>
  <c r="P623" i="8"/>
  <c r="P235" i="8"/>
  <c r="P260" i="8"/>
  <c r="P355" i="8"/>
  <c r="P656" i="8"/>
  <c r="P426" i="8"/>
  <c r="P25" i="8"/>
  <c r="P536" i="8"/>
  <c r="P221" i="8"/>
  <c r="P155" i="8"/>
  <c r="P241" i="8"/>
  <c r="P362" i="8"/>
  <c r="P259" i="8"/>
  <c r="P363" i="8"/>
  <c r="P790" i="8"/>
  <c r="P159" i="8"/>
  <c r="P256" i="8"/>
  <c r="P349" i="8"/>
  <c r="P385" i="8"/>
  <c r="P160" i="8"/>
  <c r="O193" i="8"/>
  <c r="P211" i="8"/>
  <c r="P66" i="8"/>
  <c r="P257" i="8"/>
  <c r="P356" i="8"/>
  <c r="P593" i="8"/>
  <c r="P95" i="8"/>
  <c r="P90" i="8"/>
  <c r="P78" i="8"/>
  <c r="P170" i="8"/>
  <c r="P679" i="8"/>
  <c r="P122" i="8"/>
  <c r="P84" i="8"/>
  <c r="P182" i="8"/>
  <c r="P126" i="8"/>
  <c r="P429" i="8"/>
  <c r="P681" i="8"/>
  <c r="P495" i="8"/>
  <c r="H17" i="8"/>
  <c r="P17" i="8" s="1"/>
  <c r="P784" i="8"/>
  <c r="P757" i="8"/>
  <c r="P697" i="8"/>
  <c r="P713" i="8"/>
  <c r="P85" i="8"/>
  <c r="P26" i="8"/>
  <c r="P225" i="8"/>
  <c r="O27" i="8"/>
  <c r="P353" i="8"/>
  <c r="P612" i="8"/>
  <c r="P240" i="8"/>
  <c r="P265" i="8"/>
  <c r="P346" i="8"/>
  <c r="P366" i="8"/>
  <c r="P780" i="8"/>
  <c r="P76" i="8"/>
  <c r="P218" i="8"/>
  <c r="P186" i="8"/>
  <c r="P83" i="8"/>
  <c r="P178" i="8"/>
  <c r="P367" i="8"/>
  <c r="P143" i="8"/>
  <c r="P164" i="8"/>
  <c r="P224" i="8"/>
  <c r="P683" i="8"/>
  <c r="P432" i="8"/>
  <c r="P484" i="8"/>
  <c r="P21" i="8"/>
  <c r="O22" i="8"/>
  <c r="O60" i="8"/>
  <c r="P532" i="8"/>
  <c r="M598" i="8"/>
  <c r="N492" i="8"/>
  <c r="P487" i="8"/>
  <c r="N736" i="8"/>
  <c r="P726" i="8"/>
  <c r="M684" i="8"/>
  <c r="M387" i="8"/>
  <c r="M118" i="8"/>
  <c r="O378" i="8"/>
  <c r="O350" i="8"/>
  <c r="N188" i="8"/>
  <c r="O139" i="8"/>
  <c r="O117" i="8"/>
  <c r="N105" i="8"/>
  <c r="P103" i="8"/>
  <c r="M542" i="8"/>
  <c r="N118" i="8"/>
  <c r="P115" i="8"/>
  <c r="N100" i="8"/>
  <c r="N684" i="8"/>
  <c r="O78" i="8"/>
  <c r="O170" i="8"/>
  <c r="O84" i="8"/>
  <c r="O182" i="8"/>
  <c r="O126" i="8"/>
  <c r="N51" i="8"/>
  <c r="M71" i="8"/>
  <c r="M100" i="8"/>
  <c r="M633" i="8"/>
  <c r="M775" i="8"/>
  <c r="O83" i="8"/>
  <c r="O65" i="8"/>
  <c r="O48" i="8"/>
  <c r="O116" i="8"/>
  <c r="O239" i="8"/>
  <c r="O264" i="8"/>
  <c r="O240" i="8"/>
  <c r="O265" i="8"/>
  <c r="O346" i="8"/>
  <c r="O366" i="8"/>
  <c r="O218" i="8"/>
  <c r="O186" i="8"/>
  <c r="O33" i="8"/>
  <c r="O178" i="8"/>
  <c r="O367" i="8"/>
  <c r="O164" i="8"/>
  <c r="O224" i="8"/>
  <c r="M816" i="8"/>
  <c r="O360" i="8"/>
  <c r="N598" i="8"/>
  <c r="O95" i="8"/>
  <c r="O90" i="8"/>
  <c r="O174" i="8"/>
  <c r="O77" i="8"/>
  <c r="O679" i="8"/>
  <c r="N127" i="8"/>
  <c r="P33" i="8"/>
  <c r="O143" i="8"/>
  <c r="O683" i="8"/>
  <c r="O237" i="8"/>
  <c r="O358" i="8"/>
  <c r="O43" i="8"/>
  <c r="O259" i="8"/>
  <c r="O363" i="8"/>
  <c r="O623" i="8"/>
  <c r="O260" i="8"/>
  <c r="O76" i="8"/>
  <c r="H100" i="8"/>
  <c r="H101" i="8" s="1"/>
  <c r="H127" i="8"/>
  <c r="H135" i="8" s="1"/>
  <c r="O122" i="8"/>
  <c r="N144" i="8"/>
  <c r="O124" i="8"/>
  <c r="O86" i="8"/>
  <c r="O220" i="8"/>
  <c r="O141" i="8"/>
  <c r="M127" i="8"/>
  <c r="M135" i="8" s="1"/>
  <c r="O222" i="8"/>
  <c r="H144" i="8"/>
  <c r="M144" i="8"/>
  <c r="N71" i="8"/>
  <c r="O91" i="8"/>
  <c r="N633" i="8"/>
  <c r="O697" i="8"/>
  <c r="O497" i="8"/>
  <c r="N254" i="8"/>
  <c r="O241" i="8"/>
  <c r="O362" i="8"/>
  <c r="N387" i="8"/>
  <c r="P387" i="8" s="1"/>
  <c r="N775" i="8"/>
  <c r="O42" i="8"/>
  <c r="O202" i="8"/>
  <c r="O234" i="8"/>
  <c r="O263" i="8"/>
  <c r="O348" i="8"/>
  <c r="O364" i="8"/>
  <c r="O726" i="8"/>
  <c r="N701" i="8"/>
  <c r="O211" i="8"/>
  <c r="O66" i="8"/>
  <c r="O257" i="8"/>
  <c r="O487" i="8"/>
  <c r="O542" i="8"/>
  <c r="O134" i="8"/>
  <c r="O242" i="8"/>
  <c r="O790" i="8"/>
  <c r="O235" i="8"/>
  <c r="O612" i="8"/>
  <c r="O780" i="8"/>
  <c r="O757" i="8"/>
  <c r="O315" i="8"/>
  <c r="N791" i="8"/>
  <c r="O353" i="8"/>
  <c r="O480" i="8"/>
  <c r="O236" i="8"/>
  <c r="O261" i="8"/>
  <c r="O361" i="8"/>
  <c r="O762" i="8"/>
  <c r="O17" i="8"/>
  <c r="H118" i="8"/>
  <c r="O115" i="8"/>
  <c r="H368" i="8"/>
  <c r="O345" i="8"/>
  <c r="O800" i="8"/>
  <c r="M812" i="8"/>
  <c r="M17" i="8"/>
  <c r="H105" i="8"/>
  <c r="O103" i="8"/>
  <c r="O154" i="8"/>
  <c r="O608" i="8"/>
  <c r="H614" i="8"/>
  <c r="O809" i="8"/>
  <c r="N812" i="8"/>
  <c r="P802" i="8"/>
  <c r="O784" i="8"/>
  <c r="H775" i="8"/>
  <c r="P42" i="8"/>
  <c r="H791" i="8"/>
  <c r="P48" i="8"/>
  <c r="M310" i="8"/>
  <c r="N368" i="8"/>
  <c r="O799" i="8"/>
  <c r="H812" i="8"/>
  <c r="O23" i="8"/>
  <c r="H29" i="8"/>
  <c r="H61" i="8"/>
  <c r="M254" i="8"/>
  <c r="M614" i="8"/>
  <c r="O574" i="8"/>
  <c r="P16" i="8"/>
  <c r="O198" i="8"/>
  <c r="O262" i="8"/>
  <c r="O352" i="8"/>
  <c r="P814" i="8"/>
  <c r="N816" i="8"/>
  <c r="H51" i="8"/>
  <c r="O32" i="8"/>
  <c r="P43" i="8"/>
  <c r="O159" i="8"/>
  <c r="H310" i="8"/>
  <c r="O256" i="8"/>
  <c r="O355" i="8"/>
  <c r="O693" i="8"/>
  <c r="H701" i="8"/>
  <c r="H736" i="8"/>
  <c r="O597" i="8"/>
  <c r="M791" i="8"/>
  <c r="O801" i="8"/>
  <c r="P57" i="8"/>
  <c r="P803" i="8"/>
  <c r="O155" i="8"/>
  <c r="H254" i="8"/>
  <c r="O258" i="8"/>
  <c r="O347" i="8"/>
  <c r="O374" i="8"/>
  <c r="O619" i="8"/>
  <c r="M51" i="8"/>
  <c r="O238" i="8"/>
  <c r="O359" i="8"/>
  <c r="H816" i="8"/>
  <c r="O814" i="8"/>
  <c r="O816" i="8" s="1"/>
  <c r="N29" i="8"/>
  <c r="P23" i="8"/>
  <c r="H165" i="8"/>
  <c r="O153" i="8"/>
  <c r="O207" i="8"/>
  <c r="O243" i="8"/>
  <c r="N310" i="8"/>
  <c r="M368" i="8"/>
  <c r="O349" i="8"/>
  <c r="O385" i="8"/>
  <c r="M701" i="8"/>
  <c r="O807" i="8"/>
  <c r="O160" i="8"/>
  <c r="O244" i="8"/>
  <c r="O356" i="8"/>
  <c r="H598" i="8"/>
  <c r="N614" i="8"/>
  <c r="O593" i="8"/>
  <c r="H633" i="8"/>
  <c r="P799" i="8"/>
  <c r="P810" i="8"/>
  <c r="P811" i="8"/>
  <c r="P805" i="8"/>
  <c r="O326" i="7"/>
  <c r="O371" i="7"/>
  <c r="H387" i="7"/>
  <c r="P13" i="7"/>
  <c r="M804" i="7"/>
  <c r="H610" i="7"/>
  <c r="O610" i="7" s="1"/>
  <c r="M596" i="7"/>
  <c r="O815" i="7"/>
  <c r="N804" i="7"/>
  <c r="O804" i="7" s="1"/>
  <c r="O37" i="7"/>
  <c r="H17" i="7"/>
  <c r="O674" i="7"/>
  <c r="O648" i="7"/>
  <c r="O56" i="7"/>
  <c r="M516" i="7"/>
  <c r="O381" i="7"/>
  <c r="O327" i="7"/>
  <c r="M610" i="7"/>
  <c r="O54" i="7"/>
  <c r="O15" i="7"/>
  <c r="H58" i="7"/>
  <c r="O297" i="7"/>
  <c r="O45" i="7"/>
  <c r="O814" i="7"/>
  <c r="H42" i="7"/>
  <c r="M42" i="7"/>
  <c r="N42" i="7"/>
  <c r="O39" i="7"/>
  <c r="O38" i="7"/>
  <c r="O35" i="7"/>
  <c r="H43" i="7"/>
  <c r="M43" i="7"/>
  <c r="N43" i="7"/>
  <c r="H50" i="7"/>
  <c r="M50" i="7"/>
  <c r="N50" i="7"/>
  <c r="M696" i="7"/>
  <c r="H48" i="7"/>
  <c r="M48" i="7"/>
  <c r="N48" i="7"/>
  <c r="H49" i="7"/>
  <c r="N49" i="7"/>
  <c r="M49" i="7"/>
  <c r="H47" i="7"/>
  <c r="M47" i="7"/>
  <c r="N47" i="7"/>
  <c r="H44" i="7"/>
  <c r="M44" i="7"/>
  <c r="N44" i="7"/>
  <c r="O779" i="7"/>
  <c r="O40" i="7"/>
  <c r="O14" i="7"/>
  <c r="H126" i="7"/>
  <c r="M126" i="7"/>
  <c r="N126" i="7"/>
  <c r="O471" i="7"/>
  <c r="N688" i="7"/>
  <c r="O688" i="7" s="1"/>
  <c r="M688" i="7"/>
  <c r="O321" i="7"/>
  <c r="O185" i="7"/>
  <c r="O551" i="7"/>
  <c r="H596" i="7"/>
  <c r="O596" i="7" s="1"/>
  <c r="P55" i="7"/>
  <c r="O55" i="7"/>
  <c r="M61" i="7"/>
  <c r="O325" i="7"/>
  <c r="H71" i="7"/>
  <c r="O679" i="7"/>
  <c r="O664" i="7"/>
  <c r="O265" i="7"/>
  <c r="O689" i="7"/>
  <c r="O277" i="7"/>
  <c r="H59" i="7"/>
  <c r="O57" i="7"/>
  <c r="H549" i="7"/>
  <c r="O169" i="7"/>
  <c r="O770" i="7"/>
  <c r="O742" i="7"/>
  <c r="O680" i="7"/>
  <c r="O768" i="7"/>
  <c r="O732" i="7"/>
  <c r="O683" i="7"/>
  <c r="O605" i="7"/>
  <c r="O547" i="7"/>
  <c r="O372" i="7"/>
  <c r="O374" i="7"/>
  <c r="O288" i="7"/>
  <c r="O123" i="7"/>
  <c r="O147" i="7"/>
  <c r="O110" i="7"/>
  <c r="O690" i="7"/>
  <c r="N516" i="7"/>
  <c r="O516" i="7" s="1"/>
  <c r="O306" i="7"/>
  <c r="O380" i="7"/>
  <c r="O301" i="7"/>
  <c r="N549" i="7"/>
  <c r="O60" i="7"/>
  <c r="O601" i="7"/>
  <c r="O470" i="7"/>
  <c r="O386" i="7"/>
  <c r="O308" i="7"/>
  <c r="O173" i="7"/>
  <c r="O694" i="7"/>
  <c r="O330" i="7"/>
  <c r="O319" i="7"/>
  <c r="O65" i="7"/>
  <c r="O177" i="7"/>
  <c r="O68" i="7"/>
  <c r="H400" i="7"/>
  <c r="M400" i="7"/>
  <c r="N400" i="7"/>
  <c r="H159" i="7"/>
  <c r="N159" i="7"/>
  <c r="M159" i="7"/>
  <c r="H361" i="7"/>
  <c r="M361" i="7"/>
  <c r="N361" i="7"/>
  <c r="H569" i="7"/>
  <c r="N569" i="7"/>
  <c r="M569" i="7"/>
  <c r="H489" i="7"/>
  <c r="N489" i="7"/>
  <c r="M489" i="7"/>
  <c r="H199" i="7"/>
  <c r="N199" i="7"/>
  <c r="M199" i="7"/>
  <c r="H138" i="7"/>
  <c r="N138" i="7"/>
  <c r="M138" i="7"/>
  <c r="H209" i="7"/>
  <c r="N209" i="7"/>
  <c r="M209" i="7"/>
  <c r="H242" i="7"/>
  <c r="N242" i="7"/>
  <c r="M242" i="7"/>
  <c r="H211" i="7"/>
  <c r="N211" i="7"/>
  <c r="M211" i="7"/>
  <c r="H193" i="7"/>
  <c r="N193" i="7"/>
  <c r="M193" i="7"/>
  <c r="H98" i="7"/>
  <c r="M98" i="7"/>
  <c r="N98" i="7"/>
  <c r="H238" i="7"/>
  <c r="M238" i="7"/>
  <c r="N238" i="7"/>
  <c r="H687" i="7"/>
  <c r="M687" i="7"/>
  <c r="N687" i="7"/>
  <c r="H539" i="7"/>
  <c r="M539" i="7"/>
  <c r="N539" i="7"/>
  <c r="H669" i="7"/>
  <c r="M669" i="7"/>
  <c r="N669" i="7"/>
  <c r="H651" i="7"/>
  <c r="M651" i="7"/>
  <c r="N651" i="7"/>
  <c r="H589" i="7"/>
  <c r="M589" i="7"/>
  <c r="N589" i="7"/>
  <c r="H94" i="7"/>
  <c r="M94" i="7"/>
  <c r="N94" i="7"/>
  <c r="H131" i="7"/>
  <c r="N131" i="7"/>
  <c r="M131" i="7"/>
  <c r="H747" i="7"/>
  <c r="M747" i="7"/>
  <c r="N747" i="7"/>
  <c r="H348" i="7"/>
  <c r="M348" i="7"/>
  <c r="N348" i="7"/>
  <c r="H253" i="7"/>
  <c r="N253" i="7"/>
  <c r="M253" i="7"/>
  <c r="H217" i="7"/>
  <c r="M217" i="7"/>
  <c r="N217" i="7"/>
  <c r="H97" i="7"/>
  <c r="N97" i="7"/>
  <c r="M97" i="7"/>
  <c r="H640" i="7"/>
  <c r="M640" i="7"/>
  <c r="N640" i="7"/>
  <c r="H637" i="7"/>
  <c r="M637" i="7"/>
  <c r="N637" i="7"/>
  <c r="H363" i="7"/>
  <c r="M363" i="7"/>
  <c r="N363" i="7"/>
  <c r="H179" i="7"/>
  <c r="M179" i="7"/>
  <c r="N179" i="7"/>
  <c r="H466" i="7"/>
  <c r="M466" i="7"/>
  <c r="N466" i="7"/>
  <c r="H275" i="7"/>
  <c r="N275" i="7"/>
  <c r="M275" i="7"/>
  <c r="H608" i="7"/>
  <c r="N608" i="7"/>
  <c r="M608" i="7"/>
  <c r="H258" i="7"/>
  <c r="M258" i="7"/>
  <c r="N258" i="7"/>
  <c r="H749" i="7"/>
  <c r="M749" i="7"/>
  <c r="N749" i="7"/>
  <c r="H172" i="7"/>
  <c r="M172" i="7"/>
  <c r="N172" i="7"/>
  <c r="H518" i="7"/>
  <c r="N518" i="7"/>
  <c r="M518" i="7"/>
  <c r="H630" i="7"/>
  <c r="N630" i="7"/>
  <c r="M630" i="7"/>
  <c r="H553" i="7"/>
  <c r="M553" i="7"/>
  <c r="N553" i="7"/>
  <c r="H236" i="7"/>
  <c r="M236" i="7"/>
  <c r="N236" i="7"/>
  <c r="N387" i="7"/>
  <c r="H782" i="7"/>
  <c r="M782" i="7"/>
  <c r="N782" i="7"/>
  <c r="H735" i="7"/>
  <c r="M735" i="7"/>
  <c r="N735" i="7"/>
  <c r="H757" i="7"/>
  <c r="M757" i="7"/>
  <c r="N757" i="7"/>
  <c r="H611" i="7"/>
  <c r="N611" i="7"/>
  <c r="M611" i="7"/>
  <c r="H573" i="7"/>
  <c r="N573" i="7"/>
  <c r="M573" i="7"/>
  <c r="H531" i="7"/>
  <c r="M531" i="7"/>
  <c r="N531" i="7"/>
  <c r="H506" i="7"/>
  <c r="M506" i="7"/>
  <c r="N506" i="7"/>
  <c r="H488" i="7"/>
  <c r="M488" i="7"/>
  <c r="N488" i="7"/>
  <c r="H428" i="7"/>
  <c r="H429" i="7" s="1"/>
  <c r="N428" i="7"/>
  <c r="N429" i="7" s="1"/>
  <c r="M428" i="7"/>
  <c r="M429" i="7" s="1"/>
  <c r="H402" i="7"/>
  <c r="N402" i="7"/>
  <c r="M402" i="7"/>
  <c r="H360" i="7"/>
  <c r="M360" i="7"/>
  <c r="N360" i="7"/>
  <c r="H312" i="7"/>
  <c r="M312" i="7"/>
  <c r="N312" i="7"/>
  <c r="H237" i="7"/>
  <c r="N237" i="7"/>
  <c r="M237" i="7"/>
  <c r="H219" i="7"/>
  <c r="M219" i="7"/>
  <c r="N219" i="7"/>
  <c r="H416" i="7"/>
  <c r="N416" i="7"/>
  <c r="M416" i="7"/>
  <c r="H392" i="7"/>
  <c r="M392" i="7"/>
  <c r="N392" i="7"/>
  <c r="H537" i="7"/>
  <c r="M537" i="7"/>
  <c r="N537" i="7"/>
  <c r="H568" i="7"/>
  <c r="M568" i="7"/>
  <c r="N568" i="7"/>
  <c r="H431" i="7"/>
  <c r="H432" i="7" s="1"/>
  <c r="N431" i="7"/>
  <c r="N432" i="7" s="1"/>
  <c r="M431" i="7"/>
  <c r="M432" i="7" s="1"/>
  <c r="H415" i="7"/>
  <c r="N415" i="7"/>
  <c r="M415" i="7"/>
  <c r="H403" i="7"/>
  <c r="M403" i="7"/>
  <c r="N403" i="7"/>
  <c r="H391" i="7"/>
  <c r="N391" i="7"/>
  <c r="M391" i="7"/>
  <c r="H160" i="7"/>
  <c r="M160" i="7"/>
  <c r="N160" i="7"/>
  <c r="H154" i="7"/>
  <c r="M154" i="7"/>
  <c r="N154" i="7"/>
  <c r="H87" i="7"/>
  <c r="M87" i="7"/>
  <c r="N87" i="7"/>
  <c r="H95" i="7"/>
  <c r="M95" i="7"/>
  <c r="N95" i="7"/>
  <c r="H83" i="7"/>
  <c r="N83" i="7"/>
  <c r="M83" i="7"/>
  <c r="H74" i="7"/>
  <c r="N74" i="7"/>
  <c r="M74" i="7"/>
  <c r="H530" i="7"/>
  <c r="N530" i="7"/>
  <c r="M530" i="7"/>
  <c r="H229" i="7"/>
  <c r="N229" i="7"/>
  <c r="M229" i="7"/>
  <c r="H204" i="7"/>
  <c r="N204" i="7"/>
  <c r="M204" i="7"/>
  <c r="H785" i="7"/>
  <c r="M785" i="7"/>
  <c r="N785" i="7"/>
  <c r="H215" i="7"/>
  <c r="M215" i="7"/>
  <c r="N215" i="7"/>
  <c r="H205" i="7"/>
  <c r="M205" i="7"/>
  <c r="N205" i="7"/>
  <c r="H196" i="7"/>
  <c r="N196" i="7"/>
  <c r="M196" i="7"/>
  <c r="H741" i="7"/>
  <c r="N741" i="7"/>
  <c r="M741" i="7"/>
  <c r="H641" i="7"/>
  <c r="M641" i="7"/>
  <c r="N641" i="7"/>
  <c r="H618" i="7"/>
  <c r="N618" i="7"/>
  <c r="M618" i="7"/>
  <c r="H609" i="7"/>
  <c r="N609" i="7"/>
  <c r="M609" i="7"/>
  <c r="H455" i="7"/>
  <c r="M455" i="7"/>
  <c r="N455" i="7"/>
  <c r="H411" i="7"/>
  <c r="N411" i="7"/>
  <c r="M411" i="7"/>
  <c r="H362" i="7"/>
  <c r="N362" i="7"/>
  <c r="M362" i="7"/>
  <c r="H86" i="7"/>
  <c r="M86" i="7"/>
  <c r="N86" i="7"/>
  <c r="H88" i="7"/>
  <c r="N88" i="7"/>
  <c r="M88" i="7"/>
  <c r="H116" i="7"/>
  <c r="M116" i="7"/>
  <c r="N116" i="7"/>
  <c r="H783" i="7"/>
  <c r="N783" i="7"/>
  <c r="M783" i="7"/>
  <c r="H728" i="7"/>
  <c r="M728" i="7"/>
  <c r="N728" i="7"/>
  <c r="H593" i="7"/>
  <c r="M593" i="7"/>
  <c r="N593" i="7"/>
  <c r="H662" i="7"/>
  <c r="M662" i="7"/>
  <c r="N662" i="7"/>
  <c r="H621" i="7"/>
  <c r="N621" i="7"/>
  <c r="M621" i="7"/>
  <c r="H577" i="7"/>
  <c r="N577" i="7"/>
  <c r="M577" i="7"/>
  <c r="H559" i="7"/>
  <c r="N559" i="7"/>
  <c r="M559" i="7"/>
  <c r="H495" i="7"/>
  <c r="N495" i="7"/>
  <c r="M495" i="7"/>
  <c r="H482" i="7"/>
  <c r="N482" i="7"/>
  <c r="M482" i="7"/>
  <c r="H249" i="7"/>
  <c r="M249" i="7"/>
  <c r="N249" i="7"/>
  <c r="H231" i="7"/>
  <c r="M231" i="7"/>
  <c r="N231" i="7"/>
  <c r="H186" i="7"/>
  <c r="M186" i="7"/>
  <c r="N186" i="7"/>
  <c r="H170" i="7"/>
  <c r="M170" i="7"/>
  <c r="N170" i="7"/>
  <c r="H149" i="7"/>
  <c r="M149" i="7"/>
  <c r="N149" i="7"/>
  <c r="H762" i="7"/>
  <c r="M762" i="7"/>
  <c r="N762" i="7"/>
  <c r="H734" i="7"/>
  <c r="M734" i="7"/>
  <c r="N734" i="7"/>
  <c r="H576" i="7"/>
  <c r="M576" i="7"/>
  <c r="N576" i="7"/>
  <c r="H540" i="7"/>
  <c r="M540" i="7"/>
  <c r="N540" i="7"/>
  <c r="H456" i="7"/>
  <c r="N456" i="7"/>
  <c r="M456" i="7"/>
  <c r="H352" i="7"/>
  <c r="M352" i="7"/>
  <c r="N352" i="7"/>
  <c r="H167" i="7"/>
  <c r="N167" i="7"/>
  <c r="M167" i="7"/>
  <c r="H724" i="7"/>
  <c r="N724" i="7"/>
  <c r="M724" i="7"/>
  <c r="H578" i="7"/>
  <c r="M578" i="7"/>
  <c r="N578" i="7"/>
  <c r="H452" i="7"/>
  <c r="M452" i="7"/>
  <c r="N452" i="7"/>
  <c r="H562" i="7"/>
  <c r="M562" i="7"/>
  <c r="N562" i="7"/>
  <c r="H425" i="7"/>
  <c r="H426" i="7" s="1"/>
  <c r="M425" i="7"/>
  <c r="M426" i="7" s="1"/>
  <c r="N425" i="7"/>
  <c r="N426" i="7" s="1"/>
  <c r="H655" i="7"/>
  <c r="H656" i="7" s="1"/>
  <c r="N655" i="7"/>
  <c r="M655" i="7"/>
  <c r="M656" i="7" s="1"/>
  <c r="H454" i="7"/>
  <c r="M454" i="7"/>
  <c r="N454" i="7"/>
  <c r="H271" i="7"/>
  <c r="M271" i="7"/>
  <c r="N271" i="7"/>
  <c r="H248" i="7"/>
  <c r="M248" i="7"/>
  <c r="N248" i="7"/>
  <c r="H665" i="7"/>
  <c r="N665" i="7"/>
  <c r="M665" i="7"/>
  <c r="H282" i="7"/>
  <c r="M282" i="7"/>
  <c r="N282" i="7"/>
  <c r="H270" i="7"/>
  <c r="M270" i="7"/>
  <c r="N270" i="7"/>
  <c r="H230" i="7"/>
  <c r="M230" i="7"/>
  <c r="N230" i="7"/>
  <c r="H695" i="7"/>
  <c r="M695" i="7"/>
  <c r="N695" i="7"/>
  <c r="H548" i="7"/>
  <c r="M548" i="7"/>
  <c r="N548" i="7"/>
  <c r="H642" i="7"/>
  <c r="M642" i="7"/>
  <c r="N642" i="7"/>
  <c r="H417" i="7"/>
  <c r="M417" i="7"/>
  <c r="N417" i="7"/>
  <c r="H227" i="7"/>
  <c r="M227" i="7"/>
  <c r="N227" i="7"/>
  <c r="H141" i="7"/>
  <c r="M141" i="7"/>
  <c r="N141" i="7"/>
  <c r="H84" i="7"/>
  <c r="M84" i="7"/>
  <c r="N84" i="7"/>
  <c r="H709" i="7"/>
  <c r="N709" i="7"/>
  <c r="M709" i="7"/>
  <c r="H691" i="7"/>
  <c r="M691" i="7"/>
  <c r="N691" i="7"/>
  <c r="H629" i="7"/>
  <c r="M629" i="7"/>
  <c r="N629" i="7"/>
  <c r="H544" i="7"/>
  <c r="N544" i="7"/>
  <c r="M544" i="7"/>
  <c r="H244" i="7"/>
  <c r="M244" i="7"/>
  <c r="N244" i="7"/>
  <c r="H602" i="7"/>
  <c r="N602" i="7"/>
  <c r="M602" i="7"/>
  <c r="H520" i="7"/>
  <c r="M520" i="7"/>
  <c r="N520" i="7"/>
  <c r="H645" i="7"/>
  <c r="M645" i="7"/>
  <c r="N645" i="7"/>
  <c r="H435" i="7"/>
  <c r="M435" i="7"/>
  <c r="N435" i="7"/>
  <c r="H272" i="7"/>
  <c r="N272" i="7"/>
  <c r="M272" i="7"/>
  <c r="H221" i="7"/>
  <c r="N221" i="7"/>
  <c r="M221" i="7"/>
  <c r="H707" i="7"/>
  <c r="M707" i="7"/>
  <c r="N707" i="7"/>
  <c r="H643" i="7"/>
  <c r="M643" i="7"/>
  <c r="N643" i="7"/>
  <c r="H554" i="7"/>
  <c r="N554" i="7"/>
  <c r="M554" i="7"/>
  <c r="H401" i="7"/>
  <c r="M401" i="7"/>
  <c r="N401" i="7"/>
  <c r="H697" i="7"/>
  <c r="N697" i="7"/>
  <c r="M697" i="7"/>
  <c r="H622" i="7"/>
  <c r="N622" i="7"/>
  <c r="M622" i="7"/>
  <c r="H268" i="7"/>
  <c r="M268" i="7"/>
  <c r="N268" i="7"/>
  <c r="H76" i="7"/>
  <c r="M76" i="7"/>
  <c r="N76" i="7"/>
  <c r="O756" i="7"/>
  <c r="H521" i="7"/>
  <c r="N521" i="7"/>
  <c r="M521" i="7"/>
  <c r="O385" i="7"/>
  <c r="O331" i="7"/>
  <c r="O307" i="7"/>
  <c r="H284" i="7"/>
  <c r="M284" i="7"/>
  <c r="N284" i="7"/>
  <c r="O180" i="7"/>
  <c r="O67" i="7"/>
  <c r="M71" i="7"/>
  <c r="O449" i="7"/>
  <c r="H717" i="7"/>
  <c r="N717" i="7"/>
  <c r="M717" i="7"/>
  <c r="O298" i="7"/>
  <c r="O291" i="7"/>
  <c r="O64" i="7"/>
  <c r="N71" i="7"/>
  <c r="H450" i="7"/>
  <c r="M450" i="7"/>
  <c r="N450" i="7"/>
  <c r="O318" i="7"/>
  <c r="H624" i="7"/>
  <c r="N624" i="7"/>
  <c r="M624" i="7"/>
  <c r="H198" i="7"/>
  <c r="M198" i="7"/>
  <c r="N198" i="7"/>
  <c r="H192" i="7"/>
  <c r="N192" i="7"/>
  <c r="M192" i="7"/>
  <c r="H91" i="7"/>
  <c r="N91" i="7"/>
  <c r="M91" i="7"/>
  <c r="H77" i="7"/>
  <c r="N77" i="7"/>
  <c r="M77" i="7"/>
  <c r="H200" i="7"/>
  <c r="M200" i="7"/>
  <c r="N200" i="7"/>
  <c r="H727" i="7"/>
  <c r="N727" i="7"/>
  <c r="M727" i="7"/>
  <c r="H726" i="7"/>
  <c r="N726" i="7"/>
  <c r="M726" i="7"/>
  <c r="H681" i="7"/>
  <c r="N681" i="7"/>
  <c r="M681" i="7"/>
  <c r="H663" i="7"/>
  <c r="M663" i="7"/>
  <c r="N663" i="7"/>
  <c r="H626" i="7"/>
  <c r="M626" i="7"/>
  <c r="N626" i="7"/>
  <c r="H563" i="7"/>
  <c r="N563" i="7"/>
  <c r="M563" i="7"/>
  <c r="H507" i="7"/>
  <c r="N507" i="7"/>
  <c r="M507" i="7"/>
  <c r="H478" i="7"/>
  <c r="N478" i="7"/>
  <c r="M478" i="7"/>
  <c r="H644" i="7"/>
  <c r="N644" i="7"/>
  <c r="M644" i="7"/>
  <c r="H659" i="7"/>
  <c r="N659" i="7"/>
  <c r="M659" i="7"/>
  <c r="H603" i="7"/>
  <c r="M603" i="7"/>
  <c r="N603" i="7"/>
  <c r="H580" i="7"/>
  <c r="M580" i="7"/>
  <c r="N580" i="7"/>
  <c r="H491" i="7"/>
  <c r="N491" i="7"/>
  <c r="M491" i="7"/>
  <c r="H78" i="7"/>
  <c r="M78" i="7"/>
  <c r="N78" i="7"/>
  <c r="H124" i="7"/>
  <c r="N124" i="7"/>
  <c r="M124" i="7"/>
  <c r="H80" i="7"/>
  <c r="N80" i="7"/>
  <c r="M80" i="7"/>
  <c r="H108" i="7"/>
  <c r="N108" i="7"/>
  <c r="M108" i="7"/>
  <c r="H487" i="7"/>
  <c r="N487" i="7"/>
  <c r="M487" i="7"/>
  <c r="H467" i="7"/>
  <c r="M467" i="7"/>
  <c r="N467" i="7"/>
  <c r="H447" i="7"/>
  <c r="N447" i="7"/>
  <c r="M447" i="7"/>
  <c r="H243" i="7"/>
  <c r="M243" i="7"/>
  <c r="N243" i="7"/>
  <c r="H225" i="7"/>
  <c r="M225" i="7"/>
  <c r="N225" i="7"/>
  <c r="H182" i="7"/>
  <c r="M182" i="7"/>
  <c r="N182" i="7"/>
  <c r="H148" i="7"/>
  <c r="N148" i="7"/>
  <c r="M148" i="7"/>
  <c r="H183" i="7"/>
  <c r="M183" i="7"/>
  <c r="N183" i="7"/>
  <c r="H730" i="7"/>
  <c r="N730" i="7"/>
  <c r="M730" i="7"/>
  <c r="H682" i="7"/>
  <c r="N682" i="7"/>
  <c r="M682" i="7"/>
  <c r="H628" i="7"/>
  <c r="M628" i="7"/>
  <c r="N628" i="7"/>
  <c r="H535" i="7"/>
  <c r="N535" i="7"/>
  <c r="M535" i="7"/>
  <c r="H405" i="7"/>
  <c r="N405" i="7"/>
  <c r="M405" i="7"/>
  <c r="H139" i="7"/>
  <c r="N139" i="7"/>
  <c r="M139" i="7"/>
  <c r="H494" i="7"/>
  <c r="H497" i="7" s="1"/>
  <c r="N494" i="7"/>
  <c r="M494" i="7"/>
  <c r="H536" i="7"/>
  <c r="M536" i="7"/>
  <c r="N536" i="7"/>
  <c r="H686" i="7"/>
  <c r="M686" i="7"/>
  <c r="N686" i="7"/>
  <c r="H283" i="7"/>
  <c r="N283" i="7"/>
  <c r="M283" i="7"/>
  <c r="H267" i="7"/>
  <c r="N267" i="7"/>
  <c r="M267" i="7"/>
  <c r="H168" i="7"/>
  <c r="N168" i="7"/>
  <c r="M168" i="7"/>
  <c r="H759" i="7"/>
  <c r="M759" i="7"/>
  <c r="N759" i="7"/>
  <c r="H638" i="7"/>
  <c r="N638" i="7"/>
  <c r="M638" i="7"/>
  <c r="H262" i="7"/>
  <c r="M262" i="7"/>
  <c r="N262" i="7"/>
  <c r="H784" i="7"/>
  <c r="M784" i="7"/>
  <c r="N784" i="7"/>
  <c r="H639" i="7"/>
  <c r="M639" i="7"/>
  <c r="N639" i="7"/>
  <c r="H218" i="7"/>
  <c r="N218" i="7"/>
  <c r="M218" i="7"/>
  <c r="H700" i="7"/>
  <c r="N700" i="7"/>
  <c r="M700" i="7"/>
  <c r="H600" i="7"/>
  <c r="N600" i="7"/>
  <c r="M600" i="7"/>
  <c r="H545" i="7"/>
  <c r="M545" i="7"/>
  <c r="N545" i="7"/>
  <c r="H176" i="7"/>
  <c r="M176" i="7"/>
  <c r="N176" i="7"/>
  <c r="H459" i="7"/>
  <c r="N459" i="7"/>
  <c r="M459" i="7"/>
  <c r="H706" i="7"/>
  <c r="N706" i="7"/>
  <c r="M706" i="7"/>
  <c r="H522" i="7"/>
  <c r="N522" i="7"/>
  <c r="M522" i="7"/>
  <c r="O550" i="7"/>
  <c r="O383" i="7"/>
  <c r="H672" i="7"/>
  <c r="M672" i="7"/>
  <c r="N672" i="7"/>
  <c r="O514" i="7"/>
  <c r="O292" i="7"/>
  <c r="O109" i="7"/>
  <c r="O289" i="7"/>
  <c r="O496" i="7"/>
  <c r="O295" i="7"/>
  <c r="O752" i="7"/>
  <c r="M387" i="7"/>
  <c r="O340" i="7"/>
  <c r="O305" i="7"/>
  <c r="O290" i="7"/>
  <c r="O269" i="7"/>
  <c r="O257" i="7"/>
  <c r="O468" i="7"/>
  <c r="O300" i="7"/>
  <c r="O285" i="7"/>
  <c r="O260" i="7"/>
  <c r="H786" i="7"/>
  <c r="M786" i="7"/>
  <c r="N786" i="7"/>
  <c r="H772" i="7"/>
  <c r="M772" i="7"/>
  <c r="N772" i="7"/>
  <c r="H794" i="7"/>
  <c r="H795" i="7" s="1"/>
  <c r="N794" i="7"/>
  <c r="M794" i="7"/>
  <c r="M795" i="7" s="1"/>
  <c r="H587" i="7"/>
  <c r="N587" i="7"/>
  <c r="M587" i="7"/>
  <c r="H533" i="7"/>
  <c r="M533" i="7"/>
  <c r="N533" i="7"/>
  <c r="H508" i="7"/>
  <c r="M508" i="7"/>
  <c r="N508" i="7"/>
  <c r="H500" i="7"/>
  <c r="N500" i="7"/>
  <c r="M500" i="7"/>
  <c r="H436" i="7"/>
  <c r="N436" i="7"/>
  <c r="M436" i="7"/>
  <c r="H406" i="7"/>
  <c r="M406" i="7"/>
  <c r="N406" i="7"/>
  <c r="H364" i="7"/>
  <c r="M364" i="7"/>
  <c r="N364" i="7"/>
  <c r="H345" i="7"/>
  <c r="N345" i="7"/>
  <c r="M345" i="7"/>
  <c r="H241" i="7"/>
  <c r="M241" i="7"/>
  <c r="N241" i="7"/>
  <c r="H223" i="7"/>
  <c r="M223" i="7"/>
  <c r="N223" i="7"/>
  <c r="H718" i="7"/>
  <c r="M718" i="7"/>
  <c r="N718" i="7"/>
  <c r="H560" i="7"/>
  <c r="N560" i="7"/>
  <c r="M560" i="7"/>
  <c r="H538" i="7"/>
  <c r="M538" i="7"/>
  <c r="N538" i="7"/>
  <c r="H501" i="7"/>
  <c r="M501" i="7"/>
  <c r="N501" i="7"/>
  <c r="H422" i="7"/>
  <c r="N422" i="7"/>
  <c r="M422" i="7"/>
  <c r="H164" i="7"/>
  <c r="M164" i="7"/>
  <c r="N164" i="7"/>
  <c r="H153" i="7"/>
  <c r="N153" i="7"/>
  <c r="M153" i="7"/>
  <c r="H350" i="7"/>
  <c r="N350" i="7"/>
  <c r="M350" i="7"/>
  <c r="H750" i="7"/>
  <c r="M750" i="7"/>
  <c r="N750" i="7"/>
  <c r="H208" i="7"/>
  <c r="M208" i="7"/>
  <c r="N208" i="7"/>
  <c r="H142" i="7"/>
  <c r="M142" i="7"/>
  <c r="N142" i="7"/>
  <c r="H130" i="7"/>
  <c r="M130" i="7"/>
  <c r="N130" i="7"/>
  <c r="H247" i="7"/>
  <c r="M247" i="7"/>
  <c r="N247" i="7"/>
  <c r="H586" i="7"/>
  <c r="N586" i="7"/>
  <c r="M586" i="7"/>
  <c r="H224" i="7"/>
  <c r="N224" i="7"/>
  <c r="M224" i="7"/>
  <c r="H202" i="7"/>
  <c r="N202" i="7"/>
  <c r="M202" i="7"/>
  <c r="H85" i="7"/>
  <c r="M85" i="7"/>
  <c r="N85" i="7"/>
  <c r="H117" i="7"/>
  <c r="M117" i="7"/>
  <c r="N117" i="7"/>
  <c r="H723" i="7"/>
  <c r="M723" i="7"/>
  <c r="N723" i="7"/>
  <c r="H676" i="7"/>
  <c r="N676" i="7"/>
  <c r="M676" i="7"/>
  <c r="H597" i="7"/>
  <c r="N597" i="7"/>
  <c r="M597" i="7"/>
  <c r="H490" i="7"/>
  <c r="M490" i="7"/>
  <c r="N490" i="7"/>
  <c r="H591" i="7"/>
  <c r="M591" i="7"/>
  <c r="N591" i="7"/>
  <c r="H499" i="7"/>
  <c r="N499" i="7"/>
  <c r="M499" i="7"/>
  <c r="H353" i="7"/>
  <c r="N353" i="7"/>
  <c r="M353" i="7"/>
  <c r="H107" i="7"/>
  <c r="N107" i="7"/>
  <c r="M107" i="7"/>
  <c r="H90" i="7"/>
  <c r="M90" i="7"/>
  <c r="N90" i="7"/>
  <c r="H235" i="7"/>
  <c r="M235" i="7"/>
  <c r="N235" i="7"/>
  <c r="H174" i="7"/>
  <c r="N174" i="7"/>
  <c r="M174" i="7"/>
  <c r="H171" i="7"/>
  <c r="M171" i="7"/>
  <c r="N171" i="7"/>
  <c r="H725" i="7"/>
  <c r="N725" i="7"/>
  <c r="M725" i="7"/>
  <c r="H486" i="7"/>
  <c r="N486" i="7"/>
  <c r="M486" i="7"/>
  <c r="H82" i="7"/>
  <c r="M82" i="7"/>
  <c r="N82" i="7"/>
  <c r="H588" i="7"/>
  <c r="M588" i="7"/>
  <c r="N588" i="7"/>
  <c r="H302" i="7"/>
  <c r="M302" i="7"/>
  <c r="N302" i="7"/>
  <c r="H259" i="7"/>
  <c r="N259" i="7"/>
  <c r="M259" i="7"/>
  <c r="H323" i="7"/>
  <c r="H341" i="7" s="1"/>
  <c r="M323" i="7"/>
  <c r="M341" i="7" s="1"/>
  <c r="N323" i="7"/>
  <c r="N341" i="7" s="1"/>
  <c r="H122" i="7"/>
  <c r="N122" i="7"/>
  <c r="M122" i="7"/>
  <c r="H274" i="7"/>
  <c r="M274" i="7"/>
  <c r="N274" i="7"/>
  <c r="H146" i="7"/>
  <c r="N146" i="7"/>
  <c r="M146" i="7"/>
  <c r="H463" i="7"/>
  <c r="M463" i="7"/>
  <c r="N463" i="7"/>
  <c r="H448" i="7"/>
  <c r="M448" i="7"/>
  <c r="N448" i="7"/>
  <c r="H256" i="7"/>
  <c r="N256" i="7"/>
  <c r="M256" i="7"/>
  <c r="H712" i="7"/>
  <c r="H713" i="7" s="1"/>
  <c r="M712" i="7"/>
  <c r="M713" i="7" s="1"/>
  <c r="N712" i="7"/>
  <c r="N713" i="7" s="1"/>
  <c r="H566" i="7"/>
  <c r="N566" i="7"/>
  <c r="M566" i="7"/>
  <c r="H264" i="7"/>
  <c r="N264" i="7"/>
  <c r="M264" i="7"/>
  <c r="H692" i="7"/>
  <c r="M692" i="7"/>
  <c r="N692" i="7"/>
  <c r="H778" i="7"/>
  <c r="N778" i="7"/>
  <c r="M778" i="7"/>
  <c r="H765" i="7"/>
  <c r="M765" i="7"/>
  <c r="N765" i="7"/>
  <c r="H613" i="7"/>
  <c r="N613" i="7"/>
  <c r="M613" i="7"/>
  <c r="H594" i="7"/>
  <c r="M594" i="7"/>
  <c r="N594" i="7"/>
  <c r="H564" i="7"/>
  <c r="M564" i="7"/>
  <c r="N564" i="7"/>
  <c r="H529" i="7"/>
  <c r="N529" i="7"/>
  <c r="M529" i="7"/>
  <c r="H504" i="7"/>
  <c r="M504" i="7"/>
  <c r="N504" i="7"/>
  <c r="H479" i="7"/>
  <c r="N479" i="7"/>
  <c r="M479" i="7"/>
  <c r="H418" i="7"/>
  <c r="M418" i="7"/>
  <c r="N418" i="7"/>
  <c r="H394" i="7"/>
  <c r="M394" i="7"/>
  <c r="N394" i="7"/>
  <c r="H355" i="7"/>
  <c r="M355" i="7"/>
  <c r="N355" i="7"/>
  <c r="H251" i="7"/>
  <c r="M251" i="7"/>
  <c r="N251" i="7"/>
  <c r="H232" i="7"/>
  <c r="N232" i="7"/>
  <c r="M232" i="7"/>
  <c r="H781" i="7"/>
  <c r="N781" i="7"/>
  <c r="M781" i="7"/>
  <c r="H590" i="7"/>
  <c r="M590" i="7"/>
  <c r="N590" i="7"/>
  <c r="H789" i="7"/>
  <c r="M789" i="7"/>
  <c r="N789" i="7"/>
  <c r="H534" i="7"/>
  <c r="M534" i="7"/>
  <c r="N534" i="7"/>
  <c r="H438" i="7"/>
  <c r="M438" i="7"/>
  <c r="N438" i="7"/>
  <c r="H410" i="7"/>
  <c r="H412" i="7" s="1"/>
  <c r="N410" i="7"/>
  <c r="N412" i="7" s="1"/>
  <c r="M410" i="7"/>
  <c r="M412" i="7" s="1"/>
  <c r="H313" i="7"/>
  <c r="N313" i="7"/>
  <c r="M313" i="7"/>
  <c r="H162" i="7"/>
  <c r="M162" i="7"/>
  <c r="N162" i="7"/>
  <c r="H155" i="7"/>
  <c r="N155" i="7"/>
  <c r="M155" i="7"/>
  <c r="H143" i="7"/>
  <c r="N143" i="7"/>
  <c r="M143" i="7"/>
  <c r="H366" i="7"/>
  <c r="N366" i="7"/>
  <c r="M366" i="7"/>
  <c r="H356" i="7"/>
  <c r="M356" i="7"/>
  <c r="N356" i="7"/>
  <c r="H346" i="7"/>
  <c r="M346" i="7"/>
  <c r="N346" i="7"/>
  <c r="H565" i="7"/>
  <c r="M565" i="7"/>
  <c r="N565" i="7"/>
  <c r="H477" i="7"/>
  <c r="H480" i="7" s="1"/>
  <c r="M477" i="7"/>
  <c r="N477" i="7"/>
  <c r="H744" i="7"/>
  <c r="M744" i="7"/>
  <c r="N744" i="7"/>
  <c r="H212" i="7"/>
  <c r="M212" i="7"/>
  <c r="N212" i="7"/>
  <c r="H203" i="7"/>
  <c r="N203" i="7"/>
  <c r="M203" i="7"/>
  <c r="H194" i="7"/>
  <c r="N194" i="7"/>
  <c r="M194" i="7"/>
  <c r="H140" i="7"/>
  <c r="N140" i="7"/>
  <c r="M140" i="7"/>
  <c r="H132" i="7"/>
  <c r="N132" i="7"/>
  <c r="M132" i="7"/>
  <c r="H220" i="7"/>
  <c r="M220" i="7"/>
  <c r="N220" i="7"/>
  <c r="H115" i="7"/>
  <c r="N115" i="7"/>
  <c r="M115" i="7"/>
  <c r="M118" i="7" s="1"/>
  <c r="H595" i="7"/>
  <c r="M595" i="7"/>
  <c r="N595" i="7"/>
  <c r="H252" i="7"/>
  <c r="M252" i="7"/>
  <c r="N252" i="7"/>
  <c r="H234" i="7"/>
  <c r="N234" i="7"/>
  <c r="M234" i="7"/>
  <c r="H216" i="7"/>
  <c r="M216" i="7"/>
  <c r="N216" i="7"/>
  <c r="H207" i="7"/>
  <c r="N207" i="7"/>
  <c r="M207" i="7"/>
  <c r="H790" i="7"/>
  <c r="N790" i="7"/>
  <c r="M790" i="7"/>
  <c r="H719" i="7"/>
  <c r="M719" i="7"/>
  <c r="N719" i="7"/>
  <c r="H510" i="7"/>
  <c r="M510" i="7"/>
  <c r="N510" i="7"/>
  <c r="H502" i="7"/>
  <c r="N502" i="7"/>
  <c r="M502" i="7"/>
  <c r="H443" i="7"/>
  <c r="N443" i="7"/>
  <c r="M443" i="7"/>
  <c r="H414" i="7"/>
  <c r="M414" i="7"/>
  <c r="N414" i="7"/>
  <c r="H390" i="7"/>
  <c r="N390" i="7"/>
  <c r="M390" i="7"/>
  <c r="H349" i="7"/>
  <c r="M349" i="7"/>
  <c r="N349" i="7"/>
  <c r="H246" i="7"/>
  <c r="M246" i="7"/>
  <c r="N246" i="7"/>
  <c r="H228" i="7"/>
  <c r="M228" i="7"/>
  <c r="N228" i="7"/>
  <c r="H509" i="7"/>
  <c r="M509" i="7"/>
  <c r="N509" i="7"/>
  <c r="H434" i="7"/>
  <c r="M434" i="7"/>
  <c r="N434" i="7"/>
  <c r="H404" i="7"/>
  <c r="N404" i="7"/>
  <c r="M404" i="7"/>
  <c r="L315" i="7"/>
  <c r="H746" i="7"/>
  <c r="M746" i="7"/>
  <c r="N746" i="7"/>
  <c r="H541" i="7"/>
  <c r="N541" i="7"/>
  <c r="M541" i="7"/>
  <c r="H503" i="7"/>
  <c r="M503" i="7"/>
  <c r="N503" i="7"/>
  <c r="H572" i="7"/>
  <c r="M572" i="7"/>
  <c r="N572" i="7"/>
  <c r="H437" i="7"/>
  <c r="M437" i="7"/>
  <c r="N437" i="7"/>
  <c r="H421" i="7"/>
  <c r="M421" i="7"/>
  <c r="N421" i="7"/>
  <c r="N423" i="7" s="1"/>
  <c r="H407" i="7"/>
  <c r="M407" i="7"/>
  <c r="N407" i="7"/>
  <c r="H397" i="7"/>
  <c r="H398" i="7" s="1"/>
  <c r="N397" i="7"/>
  <c r="N398" i="7" s="1"/>
  <c r="M397" i="7"/>
  <c r="M398" i="7" s="1"/>
  <c r="H163" i="7"/>
  <c r="N163" i="7"/>
  <c r="M163" i="7"/>
  <c r="H157" i="7"/>
  <c r="N157" i="7"/>
  <c r="M157" i="7"/>
  <c r="H93" i="7"/>
  <c r="M93" i="7"/>
  <c r="N93" i="7"/>
  <c r="H81" i="7"/>
  <c r="M81" i="7"/>
  <c r="N81" i="7"/>
  <c r="H104" i="7"/>
  <c r="M104" i="7"/>
  <c r="N104" i="7"/>
  <c r="H89" i="7"/>
  <c r="N89" i="7"/>
  <c r="M89" i="7"/>
  <c r="H79" i="7"/>
  <c r="N79" i="7"/>
  <c r="M79" i="7"/>
  <c r="H505" i="7"/>
  <c r="M505" i="7"/>
  <c r="N505" i="7"/>
  <c r="H213" i="7"/>
  <c r="N213" i="7"/>
  <c r="M213" i="7"/>
  <c r="H195" i="7"/>
  <c r="N195" i="7"/>
  <c r="M195" i="7"/>
  <c r="H314" i="7"/>
  <c r="N314" i="7"/>
  <c r="M314" i="7"/>
  <c r="H210" i="7"/>
  <c r="N210" i="7"/>
  <c r="M210" i="7"/>
  <c r="H201" i="7"/>
  <c r="N201" i="7"/>
  <c r="M201" i="7"/>
  <c r="H650" i="7"/>
  <c r="M650" i="7"/>
  <c r="N650" i="7"/>
  <c r="H612" i="7"/>
  <c r="M612" i="7"/>
  <c r="N612" i="7"/>
  <c r="H442" i="7"/>
  <c r="M442" i="7"/>
  <c r="N442" i="7"/>
  <c r="H358" i="7"/>
  <c r="N358" i="7"/>
  <c r="M358" i="7"/>
  <c r="H103" i="7"/>
  <c r="N103" i="7"/>
  <c r="M103" i="7"/>
  <c r="M105" i="7" s="1"/>
  <c r="H111" i="7"/>
  <c r="M111" i="7"/>
  <c r="N111" i="7"/>
  <c r="H99" i="7"/>
  <c r="M99" i="7"/>
  <c r="N99" i="7"/>
  <c r="H604" i="7"/>
  <c r="M604" i="7"/>
  <c r="N604" i="7"/>
  <c r="H581" i="7"/>
  <c r="N581" i="7"/>
  <c r="M581" i="7"/>
  <c r="H658" i="7"/>
  <c r="M658" i="7"/>
  <c r="N658" i="7"/>
  <c r="H582" i="7"/>
  <c r="M582" i="7"/>
  <c r="N582" i="7"/>
  <c r="H571" i="7"/>
  <c r="M571" i="7"/>
  <c r="N571" i="7"/>
  <c r="H532" i="7"/>
  <c r="M532" i="7"/>
  <c r="N532" i="7"/>
  <c r="H453" i="7"/>
  <c r="N453" i="7"/>
  <c r="M453" i="7"/>
  <c r="H393" i="7"/>
  <c r="M393" i="7"/>
  <c r="N393" i="7"/>
  <c r="H240" i="7"/>
  <c r="M240" i="7"/>
  <c r="N240" i="7"/>
  <c r="H222" i="7"/>
  <c r="M222" i="7"/>
  <c r="N222" i="7"/>
  <c r="H178" i="7"/>
  <c r="M178" i="7"/>
  <c r="N178" i="7"/>
  <c r="H137" i="7"/>
  <c r="N137" i="7"/>
  <c r="M137" i="7"/>
  <c r="H175" i="7"/>
  <c r="M175" i="7"/>
  <c r="N175" i="7"/>
  <c r="H780" i="7"/>
  <c r="M780" i="7"/>
  <c r="N780" i="7"/>
  <c r="H754" i="7"/>
  <c r="M754" i="7"/>
  <c r="N754" i="7"/>
  <c r="H678" i="7"/>
  <c r="M678" i="7"/>
  <c r="N678" i="7"/>
  <c r="H579" i="7"/>
  <c r="N579" i="7"/>
  <c r="M579" i="7"/>
  <c r="H567" i="7"/>
  <c r="M567" i="7"/>
  <c r="N567" i="7"/>
  <c r="H461" i="7"/>
  <c r="N461" i="7"/>
  <c r="M461" i="7"/>
  <c r="H367" i="7"/>
  <c r="N367" i="7"/>
  <c r="M367" i="7"/>
  <c r="H347" i="7"/>
  <c r="N347" i="7"/>
  <c r="M347" i="7"/>
  <c r="H187" i="7"/>
  <c r="M187" i="7"/>
  <c r="N187" i="7"/>
  <c r="H112" i="7"/>
  <c r="N112" i="7"/>
  <c r="M112" i="7"/>
  <c r="H632" i="7"/>
  <c r="M632" i="7"/>
  <c r="N632" i="7"/>
  <c r="H561" i="7"/>
  <c r="N561" i="7"/>
  <c r="M561" i="7"/>
  <c r="H359" i="7"/>
  <c r="M359" i="7"/>
  <c r="N359" i="7"/>
  <c r="H483" i="7"/>
  <c r="N483" i="7"/>
  <c r="M483" i="7"/>
  <c r="H787" i="7"/>
  <c r="M787" i="7"/>
  <c r="N787" i="7"/>
  <c r="H670" i="7"/>
  <c r="N670" i="7"/>
  <c r="M670" i="7"/>
  <c r="H623" i="7"/>
  <c r="M623" i="7"/>
  <c r="N623" i="7"/>
  <c r="H279" i="7"/>
  <c r="M279" i="7"/>
  <c r="N279" i="7"/>
  <c r="H263" i="7"/>
  <c r="M263" i="7"/>
  <c r="N263" i="7"/>
  <c r="H133" i="7"/>
  <c r="M133" i="7"/>
  <c r="N133" i="7"/>
  <c r="H585" i="7"/>
  <c r="M585" i="7"/>
  <c r="N585" i="7"/>
  <c r="H278" i="7"/>
  <c r="M278" i="7"/>
  <c r="N278" i="7"/>
  <c r="H266" i="7"/>
  <c r="M266" i="7"/>
  <c r="N266" i="7"/>
  <c r="H705" i="7"/>
  <c r="M705" i="7"/>
  <c r="N705" i="7"/>
  <c r="H617" i="7"/>
  <c r="N617" i="7"/>
  <c r="M617" i="7"/>
  <c r="H525" i="7"/>
  <c r="N525" i="7"/>
  <c r="M525" i="7"/>
  <c r="H649" i="7"/>
  <c r="N649" i="7"/>
  <c r="M649" i="7"/>
  <c r="H570" i="7"/>
  <c r="M570" i="7"/>
  <c r="N570" i="7"/>
  <c r="H286" i="7"/>
  <c r="M286" i="7"/>
  <c r="N286" i="7"/>
  <c r="H181" i="7"/>
  <c r="M181" i="7"/>
  <c r="N181" i="7"/>
  <c r="H92" i="7"/>
  <c r="M92" i="7"/>
  <c r="N92" i="7"/>
  <c r="H699" i="7"/>
  <c r="M699" i="7"/>
  <c r="N699" i="7"/>
  <c r="H661" i="7"/>
  <c r="N661" i="7"/>
  <c r="M661" i="7"/>
  <c r="H552" i="7"/>
  <c r="M552" i="7"/>
  <c r="N552" i="7"/>
  <c r="H515" i="7"/>
  <c r="N515" i="7"/>
  <c r="M515" i="7"/>
  <c r="H184" i="7"/>
  <c r="M184" i="7"/>
  <c r="N184" i="7"/>
  <c r="H558" i="7"/>
  <c r="N558" i="7"/>
  <c r="M558" i="7"/>
  <c r="H619" i="7"/>
  <c r="M619" i="7"/>
  <c r="N619" i="7"/>
  <c r="H693" i="7"/>
  <c r="N693" i="7"/>
  <c r="M693" i="7"/>
  <c r="H592" i="7"/>
  <c r="N592" i="7"/>
  <c r="M592" i="7"/>
  <c r="H526" i="7"/>
  <c r="N526" i="7"/>
  <c r="M526" i="7"/>
  <c r="H703" i="7"/>
  <c r="M703" i="7"/>
  <c r="N703" i="7"/>
  <c r="H464" i="7"/>
  <c r="N464" i="7"/>
  <c r="M464" i="7"/>
  <c r="O733" i="7"/>
  <c r="O761" i="7"/>
  <c r="O708" i="7"/>
  <c r="O704" i="7"/>
  <c r="O698" i="7"/>
  <c r="O377" i="7"/>
  <c r="O660" i="7"/>
  <c r="O654" i="7"/>
  <c r="O546" i="7"/>
  <c r="O378" i="7"/>
  <c r="O337" i="7"/>
  <c r="O320" i="7"/>
  <c r="O303" i="7"/>
  <c r="O299" i="7"/>
  <c r="O296" i="7"/>
  <c r="H239" i="7"/>
  <c r="M239" i="7"/>
  <c r="N239" i="7"/>
  <c r="O69" i="7"/>
  <c r="O519" i="7"/>
  <c r="O457" i="7"/>
  <c r="O375" i="7"/>
  <c r="O333" i="7"/>
  <c r="O304" i="7"/>
  <c r="O276" i="7"/>
  <c r="O555" i="7"/>
  <c r="O460" i="7"/>
  <c r="O335" i="7"/>
  <c r="O287" i="7"/>
  <c r="O774" i="7"/>
  <c r="O767" i="7"/>
  <c r="O696" i="7"/>
  <c r="H445" i="7"/>
  <c r="M445" i="7"/>
  <c r="N445" i="7"/>
  <c r="O376" i="7"/>
  <c r="O334" i="7"/>
  <c r="O309" i="7"/>
  <c r="O294" i="7"/>
  <c r="O273" i="7"/>
  <c r="O261" i="7"/>
  <c r="O788" i="7"/>
  <c r="O338" i="7"/>
  <c r="O293" i="7"/>
  <c r="O280" i="7"/>
  <c r="P38" i="7"/>
  <c r="L714" i="7"/>
  <c r="L61" i="7"/>
  <c r="H816" i="7"/>
  <c r="L614" i="7"/>
  <c r="N58" i="7"/>
  <c r="H23" i="7"/>
  <c r="N23" i="7"/>
  <c r="N29" i="7" s="1"/>
  <c r="L527" i="7"/>
  <c r="L791" i="7"/>
  <c r="M34" i="7"/>
  <c r="L118" i="7"/>
  <c r="L633" i="7"/>
  <c r="L606" i="7"/>
  <c r="L188" i="7"/>
  <c r="L818" i="7"/>
  <c r="L720" i="7"/>
  <c r="L492" i="7"/>
  <c r="N34" i="7"/>
  <c r="P16" i="7"/>
  <c r="L113" i="7"/>
  <c r="L556" i="7"/>
  <c r="L310" i="7"/>
  <c r="L736" i="7"/>
  <c r="P40" i="7"/>
  <c r="L511" i="7"/>
  <c r="P60" i="7"/>
  <c r="P57" i="7"/>
  <c r="L473" i="7"/>
  <c r="L341" i="7"/>
  <c r="L71" i="7"/>
  <c r="P54" i="7"/>
  <c r="N59" i="7"/>
  <c r="L574" i="7"/>
  <c r="L51" i="7"/>
  <c r="L387" i="7"/>
  <c r="N17" i="7"/>
  <c r="L144" i="7"/>
  <c r="L368" i="7"/>
  <c r="M816" i="7"/>
  <c r="L775" i="7"/>
  <c r="P815" i="7"/>
  <c r="L542" i="7"/>
  <c r="L17" i="7"/>
  <c r="P35" i="7"/>
  <c r="P14" i="7"/>
  <c r="M17" i="7"/>
  <c r="L583" i="7"/>
  <c r="M799" i="7"/>
  <c r="H799" i="7"/>
  <c r="M802" i="7"/>
  <c r="H802" i="7"/>
  <c r="N802" i="7"/>
  <c r="M800" i="7"/>
  <c r="H800" i="7"/>
  <c r="N800" i="7"/>
  <c r="H32" i="7"/>
  <c r="N32" i="7"/>
  <c r="M32" i="7"/>
  <c r="P814" i="7"/>
  <c r="N816" i="7"/>
  <c r="M805" i="7"/>
  <c r="H805" i="7"/>
  <c r="O805" i="7" s="1"/>
  <c r="L134" i="7"/>
  <c r="L135" i="7" s="1"/>
  <c r="P39" i="7"/>
  <c r="L100" i="7"/>
  <c r="H33" i="7"/>
  <c r="M33" i="7"/>
  <c r="N33" i="7"/>
  <c r="M811" i="7"/>
  <c r="H811" i="7"/>
  <c r="M803" i="7"/>
  <c r="H803" i="7"/>
  <c r="M810" i="7"/>
  <c r="H810" i="7"/>
  <c r="L165" i="7"/>
  <c r="L29" i="7"/>
  <c r="P37" i="7"/>
  <c r="M807" i="7"/>
  <c r="H807" i="7"/>
  <c r="M809" i="7"/>
  <c r="H809" i="7"/>
  <c r="M801" i="7"/>
  <c r="H801" i="7"/>
  <c r="N807" i="7"/>
  <c r="N799" i="7"/>
  <c r="N811" i="7"/>
  <c r="M806" i="7"/>
  <c r="H806" i="7"/>
  <c r="N806" i="7"/>
  <c r="M808" i="7"/>
  <c r="H808" i="7"/>
  <c r="N808" i="7"/>
  <c r="L598" i="7"/>
  <c r="P56" i="7"/>
  <c r="L254" i="7"/>
  <c r="G61" i="6"/>
  <c r="O606" i="8" l="1"/>
  <c r="O439" i="8"/>
  <c r="O666" i="8"/>
  <c r="O556" i="8"/>
  <c r="L819" i="8"/>
  <c r="P511" i="8"/>
  <c r="P395" i="8"/>
  <c r="P710" i="8"/>
  <c r="O395" i="8"/>
  <c r="P419" i="8"/>
  <c r="H473" i="8"/>
  <c r="O652" i="8"/>
  <c r="P408" i="8"/>
  <c r="P720" i="8"/>
  <c r="O583" i="8"/>
  <c r="O105" i="8"/>
  <c r="P666" i="8"/>
  <c r="O408" i="8"/>
  <c r="O113" i="8"/>
  <c r="O736" i="8"/>
  <c r="O737" i="8" s="1"/>
  <c r="H737" i="8"/>
  <c r="N737" i="8"/>
  <c r="O710" i="8"/>
  <c r="P492" i="8"/>
  <c r="O150" i="8"/>
  <c r="O527" i="8"/>
  <c r="O511" i="8"/>
  <c r="P113" i="8"/>
  <c r="P472" i="8"/>
  <c r="P188" i="8"/>
  <c r="H714" i="8"/>
  <c r="P684" i="8"/>
  <c r="O472" i="8"/>
  <c r="P368" i="8"/>
  <c r="P341" i="8"/>
  <c r="P150" i="8"/>
  <c r="M473" i="8"/>
  <c r="O419" i="8"/>
  <c r="O341" i="8"/>
  <c r="P310" i="8"/>
  <c r="H818" i="8"/>
  <c r="P29" i="8"/>
  <c r="O598" i="8"/>
  <c r="O492" i="8"/>
  <c r="O701" i="8"/>
  <c r="N473" i="8"/>
  <c r="P473" i="8" s="1"/>
  <c r="H105" i="7"/>
  <c r="O29" i="8"/>
  <c r="P144" i="8"/>
  <c r="M127" i="7"/>
  <c r="P791" i="8"/>
  <c r="P105" i="8"/>
  <c r="P118" i="8"/>
  <c r="P775" i="8"/>
  <c r="P633" i="8"/>
  <c r="P598" i="8"/>
  <c r="P100" i="8"/>
  <c r="P51" i="8"/>
  <c r="P736" i="8"/>
  <c r="M634" i="8"/>
  <c r="M714" i="8"/>
  <c r="Q118" i="8"/>
  <c r="O71" i="8"/>
  <c r="P254" i="8"/>
  <c r="N101" i="8"/>
  <c r="P101" i="8" s="1"/>
  <c r="P71" i="8"/>
  <c r="O633" i="8"/>
  <c r="O188" i="8"/>
  <c r="O144" i="8"/>
  <c r="N135" i="8"/>
  <c r="P135" i="8" s="1"/>
  <c r="P127" i="8"/>
  <c r="N634" i="8"/>
  <c r="P614" i="8"/>
  <c r="Q71" i="8"/>
  <c r="O118" i="8"/>
  <c r="N714" i="8"/>
  <c r="P701" i="8"/>
  <c r="M818" i="8"/>
  <c r="M101" i="8"/>
  <c r="O614" i="8"/>
  <c r="O684" i="8"/>
  <c r="O775" i="8"/>
  <c r="H634" i="8"/>
  <c r="O254" i="8"/>
  <c r="P812" i="8"/>
  <c r="O100" i="8"/>
  <c r="O127" i="8"/>
  <c r="O135" i="8" s="1"/>
  <c r="O51" i="8"/>
  <c r="O791" i="8"/>
  <c r="O387" i="8"/>
  <c r="N818" i="8"/>
  <c r="P816" i="8"/>
  <c r="O368" i="8"/>
  <c r="Q51" i="8"/>
  <c r="O310" i="8"/>
  <c r="O812" i="8"/>
  <c r="O818" i="8" s="1"/>
  <c r="P805" i="7"/>
  <c r="O808" i="7"/>
  <c r="N105" i="7"/>
  <c r="M423" i="7"/>
  <c r="M419" i="7"/>
  <c r="H254" i="7"/>
  <c r="O807" i="7"/>
  <c r="H315" i="7"/>
  <c r="N472" i="7"/>
  <c r="H368" i="7"/>
  <c r="H472" i="7"/>
  <c r="M472" i="7"/>
  <c r="H310" i="7"/>
  <c r="M254" i="7"/>
  <c r="N254" i="7"/>
  <c r="O816" i="7"/>
  <c r="H652" i="7"/>
  <c r="O744" i="7"/>
  <c r="H423" i="7"/>
  <c r="H419" i="7"/>
  <c r="H395" i="7"/>
  <c r="L737" i="7"/>
  <c r="O670" i="7"/>
  <c r="H684" i="7"/>
  <c r="O163" i="7"/>
  <c r="H439" i="7"/>
  <c r="O443" i="7"/>
  <c r="O790" i="7"/>
  <c r="O132" i="7"/>
  <c r="O155" i="7"/>
  <c r="O781" i="7"/>
  <c r="O353" i="7"/>
  <c r="O422" i="7"/>
  <c r="O730" i="7"/>
  <c r="O726" i="7"/>
  <c r="O655" i="7"/>
  <c r="O656" i="7" s="1"/>
  <c r="O415" i="7"/>
  <c r="O159" i="7"/>
  <c r="O42" i="7"/>
  <c r="H408" i="7"/>
  <c r="M395" i="7"/>
  <c r="O414" i="7"/>
  <c r="N419" i="7"/>
  <c r="N395" i="7"/>
  <c r="N439" i="7"/>
  <c r="N408" i="7"/>
  <c r="M439" i="7"/>
  <c r="M408" i="7"/>
  <c r="M684" i="7"/>
  <c r="O428" i="7"/>
  <c r="O429" i="7" s="1"/>
  <c r="N652" i="7"/>
  <c r="N684" i="7"/>
  <c r="O762" i="7"/>
  <c r="O785" i="7"/>
  <c r="H127" i="7"/>
  <c r="M652" i="7"/>
  <c r="M666" i="7"/>
  <c r="H710" i="7"/>
  <c r="H666" i="7"/>
  <c r="N701" i="7"/>
  <c r="N656" i="7"/>
  <c r="N666" i="7"/>
  <c r="H701" i="7"/>
  <c r="M646" i="7"/>
  <c r="M701" i="7"/>
  <c r="N646" i="7"/>
  <c r="P804" i="7"/>
  <c r="O811" i="7"/>
  <c r="O800" i="7"/>
  <c r="N710" i="7"/>
  <c r="O126" i="7"/>
  <c r="M710" i="7"/>
  <c r="O435" i="7"/>
  <c r="O425" i="7"/>
  <c r="O426" i="7" s="1"/>
  <c r="O734" i="7"/>
  <c r="O149" i="7"/>
  <c r="O249" i="7"/>
  <c r="O728" i="7"/>
  <c r="H646" i="7"/>
  <c r="O651" i="7"/>
  <c r="P47" i="7"/>
  <c r="O17" i="7"/>
  <c r="H61" i="7"/>
  <c r="O48" i="7"/>
  <c r="O50" i="7"/>
  <c r="P59" i="7"/>
  <c r="M51" i="7"/>
  <c r="O549" i="7"/>
  <c r="O802" i="7"/>
  <c r="O196" i="7"/>
  <c r="O431" i="7"/>
  <c r="O432" i="7" s="1"/>
  <c r="O416" i="7"/>
  <c r="O97" i="7"/>
  <c r="O49" i="7"/>
  <c r="P49" i="7"/>
  <c r="P42" i="7"/>
  <c r="P810" i="7"/>
  <c r="O810" i="7"/>
  <c r="O787" i="7"/>
  <c r="O780" i="7"/>
  <c r="O650" i="7"/>
  <c r="O117" i="7"/>
  <c r="H134" i="7"/>
  <c r="O164" i="7"/>
  <c r="O467" i="7"/>
  <c r="O44" i="7"/>
  <c r="P44" i="7"/>
  <c r="O43" i="7"/>
  <c r="P43" i="7"/>
  <c r="P809" i="7"/>
  <c r="O809" i="7"/>
  <c r="O806" i="7"/>
  <c r="L101" i="7"/>
  <c r="O103" i="7"/>
  <c r="O195" i="7"/>
  <c r="O89" i="7"/>
  <c r="O157" i="7"/>
  <c r="O541" i="7"/>
  <c r="O203" i="7"/>
  <c r="O143" i="7"/>
  <c r="O410" i="7"/>
  <c r="H542" i="7"/>
  <c r="H720" i="7"/>
  <c r="O638" i="7"/>
  <c r="O283" i="7"/>
  <c r="H492" i="7"/>
  <c r="O124" i="7"/>
  <c r="O47" i="7"/>
  <c r="P48" i="7"/>
  <c r="P50" i="7"/>
  <c r="P801" i="7"/>
  <c r="O801" i="7"/>
  <c r="P803" i="7"/>
  <c r="O803" i="7"/>
  <c r="H51" i="7"/>
  <c r="O32" i="7"/>
  <c r="O92" i="7"/>
  <c r="O266" i="7"/>
  <c r="O359" i="7"/>
  <c r="O187" i="7"/>
  <c r="O393" i="7"/>
  <c r="O442" i="7"/>
  <c r="O505" i="7"/>
  <c r="O349" i="7"/>
  <c r="O162" i="7"/>
  <c r="O534" i="7"/>
  <c r="N61" i="7"/>
  <c r="O525" i="7"/>
  <c r="O453" i="7"/>
  <c r="O79" i="7"/>
  <c r="O390" i="7"/>
  <c r="O194" i="7"/>
  <c r="O366" i="7"/>
  <c r="O313" i="7"/>
  <c r="O256" i="7"/>
  <c r="O387" i="7"/>
  <c r="O592" i="7"/>
  <c r="O561" i="7"/>
  <c r="O579" i="7"/>
  <c r="O201" i="7"/>
  <c r="O213" i="7"/>
  <c r="O595" i="7"/>
  <c r="O590" i="7"/>
  <c r="O504" i="7"/>
  <c r="O712" i="7"/>
  <c r="O713" i="7" s="1"/>
  <c r="O448" i="7"/>
  <c r="O588" i="7"/>
  <c r="O171" i="7"/>
  <c r="O490" i="7"/>
  <c r="O208" i="7"/>
  <c r="O406" i="7"/>
  <c r="O522" i="7"/>
  <c r="O176" i="7"/>
  <c r="H606" i="7"/>
  <c r="O536" i="7"/>
  <c r="O183" i="7"/>
  <c r="O182" i="7"/>
  <c r="O487" i="7"/>
  <c r="O603" i="7"/>
  <c r="O659" i="7"/>
  <c r="O626" i="7"/>
  <c r="O91" i="7"/>
  <c r="O456" i="7"/>
  <c r="O559" i="7"/>
  <c r="O611" i="7"/>
  <c r="O211" i="7"/>
  <c r="O199" i="7"/>
  <c r="H574" i="7"/>
  <c r="M497" i="7"/>
  <c r="O58" i="7"/>
  <c r="P17" i="7"/>
  <c r="Q17" i="7"/>
  <c r="N134" i="7"/>
  <c r="O643" i="7"/>
  <c r="O520" i="7"/>
  <c r="O629" i="7"/>
  <c r="O282" i="7"/>
  <c r="O352" i="7"/>
  <c r="O186" i="7"/>
  <c r="N484" i="7"/>
  <c r="O495" i="7"/>
  <c r="O360" i="7"/>
  <c r="O506" i="7"/>
  <c r="O573" i="7"/>
  <c r="O236" i="7"/>
  <c r="O94" i="7"/>
  <c r="O539" i="7"/>
  <c r="O361" i="7"/>
  <c r="O400" i="7"/>
  <c r="O59" i="7"/>
  <c r="Q71" i="7"/>
  <c r="M368" i="7"/>
  <c r="N51" i="7"/>
  <c r="O33" i="7"/>
  <c r="P34" i="7"/>
  <c r="O34" i="7"/>
  <c r="O345" i="7"/>
  <c r="N368" i="7"/>
  <c r="P58" i="7"/>
  <c r="O224" i="7"/>
  <c r="M134" i="7"/>
  <c r="M135" i="7" s="1"/>
  <c r="H598" i="7"/>
  <c r="M527" i="7"/>
  <c r="O262" i="7"/>
  <c r="O225" i="7"/>
  <c r="O108" i="7"/>
  <c r="O78" i="7"/>
  <c r="O580" i="7"/>
  <c r="O478" i="7"/>
  <c r="O663" i="7"/>
  <c r="O200" i="7"/>
  <c r="O707" i="7"/>
  <c r="H556" i="7"/>
  <c r="O709" i="7"/>
  <c r="O84" i="7"/>
  <c r="O227" i="7"/>
  <c r="O270" i="7"/>
  <c r="O562" i="7"/>
  <c r="O170" i="7"/>
  <c r="O231" i="7"/>
  <c r="O577" i="7"/>
  <c r="O609" i="7"/>
  <c r="O83" i="7"/>
  <c r="O488" i="7"/>
  <c r="O531" i="7"/>
  <c r="H614" i="7"/>
  <c r="O348" i="7"/>
  <c r="O589" i="7"/>
  <c r="O687" i="7"/>
  <c r="O98" i="7"/>
  <c r="O489" i="7"/>
  <c r="O693" i="7"/>
  <c r="M574" i="7"/>
  <c r="O515" i="7"/>
  <c r="M633" i="7"/>
  <c r="H144" i="7"/>
  <c r="H100" i="7"/>
  <c r="H101" i="7" s="1"/>
  <c r="O232" i="7"/>
  <c r="O778" i="7"/>
  <c r="H150" i="7"/>
  <c r="O486" i="7"/>
  <c r="H511" i="7"/>
  <c r="O676" i="7"/>
  <c r="H113" i="7"/>
  <c r="H188" i="7"/>
  <c r="H583" i="7"/>
  <c r="O783" i="7"/>
  <c r="O618" i="7"/>
  <c r="O402" i="7"/>
  <c r="N527" i="7"/>
  <c r="O619" i="7"/>
  <c r="O552" i="7"/>
  <c r="O699" i="7"/>
  <c r="O570" i="7"/>
  <c r="M598" i="7"/>
  <c r="O279" i="7"/>
  <c r="O754" i="7"/>
  <c r="O240" i="7"/>
  <c r="O571" i="7"/>
  <c r="O93" i="7"/>
  <c r="O407" i="7"/>
  <c r="O246" i="7"/>
  <c r="O510" i="7"/>
  <c r="O252" i="7"/>
  <c r="O438" i="7"/>
  <c r="O789" i="7"/>
  <c r="O251" i="7"/>
  <c r="O594" i="7"/>
  <c r="O765" i="7"/>
  <c r="O692" i="7"/>
  <c r="O463" i="7"/>
  <c r="O82" i="7"/>
  <c r="O241" i="7"/>
  <c r="O508" i="7"/>
  <c r="O772" i="7"/>
  <c r="O630" i="7"/>
  <c r="O799" i="7"/>
  <c r="O725" i="7"/>
  <c r="O587" i="7"/>
  <c r="O139" i="7"/>
  <c r="O681" i="7"/>
  <c r="O717" i="7"/>
  <c r="O554" i="7"/>
  <c r="O272" i="7"/>
  <c r="O602" i="7"/>
  <c r="O88" i="7"/>
  <c r="O749" i="7"/>
  <c r="O466" i="7"/>
  <c r="O640" i="7"/>
  <c r="O347" i="7"/>
  <c r="O358" i="7"/>
  <c r="O477" i="7"/>
  <c r="N480" i="7"/>
  <c r="O529" i="7"/>
  <c r="O566" i="7"/>
  <c r="N113" i="7"/>
  <c r="O597" i="7"/>
  <c r="M165" i="7"/>
  <c r="O706" i="7"/>
  <c r="O168" i="7"/>
  <c r="O491" i="7"/>
  <c r="O644" i="7"/>
  <c r="O727" i="7"/>
  <c r="H484" i="7"/>
  <c r="O482" i="7"/>
  <c r="M775" i="7"/>
  <c r="M100" i="7"/>
  <c r="M101" i="7" s="1"/>
  <c r="O312" i="7"/>
  <c r="N315" i="7"/>
  <c r="O608" i="7"/>
  <c r="N614" i="7"/>
  <c r="H527" i="7"/>
  <c r="O445" i="7"/>
  <c r="O526" i="7"/>
  <c r="O661" i="7"/>
  <c r="O286" i="7"/>
  <c r="O263" i="7"/>
  <c r="O623" i="7"/>
  <c r="O483" i="7"/>
  <c r="O632" i="7"/>
  <c r="O112" i="7"/>
  <c r="O461" i="7"/>
  <c r="O567" i="7"/>
  <c r="O678" i="7"/>
  <c r="M144" i="7"/>
  <c r="O222" i="7"/>
  <c r="O532" i="7"/>
  <c r="O582" i="7"/>
  <c r="O581" i="7"/>
  <c r="O99" i="7"/>
  <c r="O314" i="7"/>
  <c r="O81" i="7"/>
  <c r="O421" i="7"/>
  <c r="O423" i="7" s="1"/>
  <c r="O572" i="7"/>
  <c r="O434" i="7"/>
  <c r="O228" i="7"/>
  <c r="O719" i="7"/>
  <c r="O234" i="7"/>
  <c r="N118" i="7"/>
  <c r="O220" i="7"/>
  <c r="M480" i="7"/>
  <c r="O565" i="7"/>
  <c r="O356" i="7"/>
  <c r="O355" i="7"/>
  <c r="O418" i="7"/>
  <c r="O479" i="7"/>
  <c r="O564" i="7"/>
  <c r="O613" i="7"/>
  <c r="M791" i="7"/>
  <c r="O264" i="7"/>
  <c r="N310" i="7"/>
  <c r="M150" i="7"/>
  <c r="M492" i="7"/>
  <c r="O235" i="7"/>
  <c r="O107" i="7"/>
  <c r="M511" i="7"/>
  <c r="M736" i="7"/>
  <c r="O586" i="7"/>
  <c r="O130" i="7"/>
  <c r="O153" i="7"/>
  <c r="N165" i="7"/>
  <c r="O501" i="7"/>
  <c r="O560" i="7"/>
  <c r="O223" i="7"/>
  <c r="O500" i="7"/>
  <c r="O533" i="7"/>
  <c r="O786" i="7"/>
  <c r="O545" i="7"/>
  <c r="O639" i="7"/>
  <c r="O759" i="7"/>
  <c r="O686" i="7"/>
  <c r="O405" i="7"/>
  <c r="O628" i="7"/>
  <c r="O682" i="7"/>
  <c r="O563" i="7"/>
  <c r="O77" i="7"/>
  <c r="O198" i="7"/>
  <c r="O624" i="7"/>
  <c r="O450" i="7"/>
  <c r="O71" i="7"/>
  <c r="N720" i="7"/>
  <c r="O284" i="7"/>
  <c r="O76" i="7"/>
  <c r="O622" i="7"/>
  <c r="O401" i="7"/>
  <c r="O244" i="7"/>
  <c r="O141" i="7"/>
  <c r="O417" i="7"/>
  <c r="O548" i="7"/>
  <c r="O230" i="7"/>
  <c r="O248" i="7"/>
  <c r="O454" i="7"/>
  <c r="O452" i="7"/>
  <c r="O724" i="7"/>
  <c r="O540" i="7"/>
  <c r="O662" i="7"/>
  <c r="O116" i="7"/>
  <c r="O86" i="7"/>
  <c r="O641" i="7"/>
  <c r="O741" i="7"/>
  <c r="N775" i="7"/>
  <c r="O215" i="7"/>
  <c r="O204" i="7"/>
  <c r="O74" i="7"/>
  <c r="N100" i="7"/>
  <c r="N101" i="7" s="1"/>
  <c r="O87" i="7"/>
  <c r="O160" i="7"/>
  <c r="O403" i="7"/>
  <c r="O537" i="7"/>
  <c r="M315" i="7"/>
  <c r="O757" i="7"/>
  <c r="O782" i="7"/>
  <c r="O553" i="7"/>
  <c r="O518" i="7"/>
  <c r="O363" i="7"/>
  <c r="O131" i="7"/>
  <c r="O209" i="7"/>
  <c r="O569" i="7"/>
  <c r="O585" i="7"/>
  <c r="N598" i="7"/>
  <c r="H791" i="7"/>
  <c r="O558" i="7"/>
  <c r="N574" i="7"/>
  <c r="O617" i="7"/>
  <c r="N633" i="7"/>
  <c r="O104" i="7"/>
  <c r="O404" i="7"/>
  <c r="M310" i="7"/>
  <c r="O122" i="7"/>
  <c r="N127" i="7"/>
  <c r="O174" i="7"/>
  <c r="O723" i="7"/>
  <c r="N736" i="7"/>
  <c r="O794" i="7"/>
  <c r="O795" i="7" s="1"/>
  <c r="N795" i="7"/>
  <c r="O535" i="7"/>
  <c r="M720" i="7"/>
  <c r="O697" i="7"/>
  <c r="H775" i="7"/>
  <c r="H736" i="7"/>
  <c r="H633" i="7"/>
  <c r="O239" i="7"/>
  <c r="O464" i="7"/>
  <c r="O703" i="7"/>
  <c r="O184" i="7"/>
  <c r="O181" i="7"/>
  <c r="O649" i="7"/>
  <c r="O705" i="7"/>
  <c r="O278" i="7"/>
  <c r="O133" i="7"/>
  <c r="O367" i="7"/>
  <c r="O175" i="7"/>
  <c r="O137" i="7"/>
  <c r="N144" i="7"/>
  <c r="O178" i="7"/>
  <c r="O658" i="7"/>
  <c r="O604" i="7"/>
  <c r="O111" i="7"/>
  <c r="O612" i="7"/>
  <c r="O210" i="7"/>
  <c r="O397" i="7"/>
  <c r="O398" i="7" s="1"/>
  <c r="O437" i="7"/>
  <c r="O503" i="7"/>
  <c r="O746" i="7"/>
  <c r="O509" i="7"/>
  <c r="O502" i="7"/>
  <c r="O207" i="7"/>
  <c r="O216" i="7"/>
  <c r="H118" i="7"/>
  <c r="O115" i="7"/>
  <c r="O140" i="7"/>
  <c r="O212" i="7"/>
  <c r="O346" i="7"/>
  <c r="O394" i="7"/>
  <c r="M542" i="7"/>
  <c r="N791" i="7"/>
  <c r="O146" i="7"/>
  <c r="N150" i="7"/>
  <c r="O274" i="7"/>
  <c r="O323" i="7"/>
  <c r="O341" i="7" s="1"/>
  <c r="O259" i="7"/>
  <c r="O302" i="7"/>
  <c r="N492" i="7"/>
  <c r="O90" i="7"/>
  <c r="O499" i="7"/>
  <c r="N511" i="7"/>
  <c r="O591" i="7"/>
  <c r="O85" i="7"/>
  <c r="O202" i="7"/>
  <c r="O247" i="7"/>
  <c r="O142" i="7"/>
  <c r="O750" i="7"/>
  <c r="O350" i="7"/>
  <c r="H165" i="7"/>
  <c r="O538" i="7"/>
  <c r="O718" i="7"/>
  <c r="O364" i="7"/>
  <c r="O436" i="7"/>
  <c r="O672" i="7"/>
  <c r="O459" i="7"/>
  <c r="M606" i="7"/>
  <c r="O700" i="7"/>
  <c r="O218" i="7"/>
  <c r="O784" i="7"/>
  <c r="O267" i="7"/>
  <c r="O494" i="7"/>
  <c r="N497" i="7"/>
  <c r="O148" i="7"/>
  <c r="O243" i="7"/>
  <c r="O447" i="7"/>
  <c r="O80" i="7"/>
  <c r="O507" i="7"/>
  <c r="O521" i="7"/>
  <c r="O268" i="7"/>
  <c r="O221" i="7"/>
  <c r="O645" i="7"/>
  <c r="M556" i="7"/>
  <c r="O691" i="7"/>
  <c r="O642" i="7"/>
  <c r="O695" i="7"/>
  <c r="O665" i="7"/>
  <c r="O271" i="7"/>
  <c r="O578" i="7"/>
  <c r="M188" i="7"/>
  <c r="O576" i="7"/>
  <c r="N583" i="7"/>
  <c r="M484" i="7"/>
  <c r="O593" i="7"/>
  <c r="O411" i="7"/>
  <c r="O455" i="7"/>
  <c r="O205" i="7"/>
  <c r="O530" i="7"/>
  <c r="O95" i="7"/>
  <c r="O154" i="7"/>
  <c r="O568" i="7"/>
  <c r="O392" i="7"/>
  <c r="O219" i="7"/>
  <c r="O237" i="7"/>
  <c r="O735" i="7"/>
  <c r="O172" i="7"/>
  <c r="O258" i="7"/>
  <c r="O179" i="7"/>
  <c r="O637" i="7"/>
  <c r="O747" i="7"/>
  <c r="O238" i="7"/>
  <c r="O242" i="7"/>
  <c r="N542" i="7"/>
  <c r="M113" i="7"/>
  <c r="O600" i="7"/>
  <c r="N606" i="7"/>
  <c r="O192" i="7"/>
  <c r="O544" i="7"/>
  <c r="N556" i="7"/>
  <c r="O167" i="7"/>
  <c r="N188" i="7"/>
  <c r="M583" i="7"/>
  <c r="O621" i="7"/>
  <c r="O362" i="7"/>
  <c r="O229" i="7"/>
  <c r="O391" i="7"/>
  <c r="M614" i="7"/>
  <c r="O275" i="7"/>
  <c r="O217" i="7"/>
  <c r="O253" i="7"/>
  <c r="O669" i="7"/>
  <c r="O193" i="7"/>
  <c r="O138" i="7"/>
  <c r="H29" i="7"/>
  <c r="P29" i="7" s="1"/>
  <c r="O23" i="7"/>
  <c r="O29" i="7" s="1"/>
  <c r="P23" i="7"/>
  <c r="P802" i="7"/>
  <c r="L634" i="7"/>
  <c r="P808" i="7"/>
  <c r="P806" i="7"/>
  <c r="P800" i="7"/>
  <c r="P816" i="7"/>
  <c r="P32" i="7"/>
  <c r="N812" i="7"/>
  <c r="N818" i="7" s="1"/>
  <c r="P799" i="7"/>
  <c r="P33" i="7"/>
  <c r="M812" i="7"/>
  <c r="M818" i="7" s="1"/>
  <c r="P811" i="7"/>
  <c r="H812" i="7"/>
  <c r="H818" i="7" s="1"/>
  <c r="P807" i="7"/>
  <c r="G799" i="6"/>
  <c r="G798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83" i="6"/>
  <c r="G62" i="6"/>
  <c r="G25" i="6"/>
  <c r="O473" i="8" l="1"/>
  <c r="P737" i="8"/>
  <c r="O101" i="8"/>
  <c r="P714" i="8"/>
  <c r="H819" i="8"/>
  <c r="S10" i="8" s="1"/>
  <c r="O714" i="8"/>
  <c r="O127" i="7"/>
  <c r="O634" i="8"/>
  <c r="P634" i="8"/>
  <c r="Q101" i="8"/>
  <c r="Q135" i="8"/>
  <c r="P818" i="8"/>
  <c r="O150" i="7"/>
  <c r="O144" i="7"/>
  <c r="O165" i="7"/>
  <c r="M473" i="7"/>
  <c r="H473" i="7"/>
  <c r="N473" i="7"/>
  <c r="O113" i="7"/>
  <c r="O188" i="7"/>
  <c r="O118" i="7"/>
  <c r="O472" i="7"/>
  <c r="O105" i="7"/>
  <c r="O254" i="7"/>
  <c r="Q51" i="7"/>
  <c r="H714" i="7"/>
  <c r="H737" i="7"/>
  <c r="M714" i="7"/>
  <c r="H135" i="7"/>
  <c r="O646" i="7"/>
  <c r="O666" i="7"/>
  <c r="O412" i="7"/>
  <c r="N714" i="7"/>
  <c r="O439" i="7"/>
  <c r="O395" i="7"/>
  <c r="O419" i="7"/>
  <c r="O408" i="7"/>
  <c r="O684" i="7"/>
  <c r="O652" i="7"/>
  <c r="Q61" i="7"/>
  <c r="O701" i="7"/>
  <c r="O812" i="7"/>
  <c r="O818" i="7" s="1"/>
  <c r="N135" i="7"/>
  <c r="L819" i="7"/>
  <c r="O736" i="7"/>
  <c r="O791" i="7"/>
  <c r="O775" i="7"/>
  <c r="Q118" i="7"/>
  <c r="O720" i="7"/>
  <c r="O737" i="7" s="1"/>
  <c r="O497" i="7"/>
  <c r="O492" i="7"/>
  <c r="O484" i="7"/>
  <c r="O51" i="7"/>
  <c r="O710" i="7"/>
  <c r="O61" i="7"/>
  <c r="Q101" i="7"/>
  <c r="O556" i="7"/>
  <c r="O134" i="7"/>
  <c r="O135" i="7" s="1"/>
  <c r="O368" i="7"/>
  <c r="O606" i="7"/>
  <c r="O527" i="7"/>
  <c r="O480" i="7"/>
  <c r="O310" i="7"/>
  <c r="H634" i="7"/>
  <c r="N634" i="7"/>
  <c r="O633" i="7"/>
  <c r="O511" i="7"/>
  <c r="O100" i="7"/>
  <c r="O101" i="7" s="1"/>
  <c r="O315" i="7"/>
  <c r="O542" i="7"/>
  <c r="O614" i="7"/>
  <c r="O583" i="7"/>
  <c r="N737" i="7"/>
  <c r="O574" i="7"/>
  <c r="O598" i="7"/>
  <c r="M737" i="7"/>
  <c r="M634" i="7"/>
  <c r="P61" i="7"/>
  <c r="P51" i="7"/>
  <c r="P812" i="7"/>
  <c r="G16" i="6"/>
  <c r="G17" i="6"/>
  <c r="G18" i="6"/>
  <c r="G15" i="6"/>
  <c r="G7" i="8" l="1"/>
  <c r="H819" i="7"/>
  <c r="S10" i="7" s="1"/>
  <c r="Q135" i="7"/>
  <c r="O473" i="7"/>
  <c r="O714" i="7"/>
  <c r="O634" i="7"/>
  <c r="M819" i="7"/>
  <c r="I6" i="7" s="1"/>
  <c r="N819" i="7"/>
  <c r="I7" i="7" s="1"/>
  <c r="G7" i="7"/>
  <c r="P818" i="7"/>
  <c r="H16" i="6"/>
  <c r="H17" i="6"/>
  <c r="H18" i="6"/>
  <c r="H22" i="6"/>
  <c r="H23" i="6"/>
  <c r="H24" i="6"/>
  <c r="H25" i="6"/>
  <c r="H27" i="6"/>
  <c r="H28" i="6"/>
  <c r="H29" i="6"/>
  <c r="H30" i="6"/>
  <c r="H34" i="6"/>
  <c r="H35" i="6"/>
  <c r="H36" i="6"/>
  <c r="H37" i="6"/>
  <c r="H39" i="6"/>
  <c r="H40" i="6"/>
  <c r="H41" i="6"/>
  <c r="H42" i="6"/>
  <c r="H44" i="6"/>
  <c r="H45" i="6"/>
  <c r="H46" i="6"/>
  <c r="H47" i="6"/>
  <c r="H49" i="6"/>
  <c r="H50" i="6"/>
  <c r="H51" i="6"/>
  <c r="H52" i="6"/>
  <c r="H56" i="6"/>
  <c r="H57" i="6"/>
  <c r="H58" i="6"/>
  <c r="H59" i="6"/>
  <c r="H60" i="6"/>
  <c r="H61" i="6"/>
  <c r="H62" i="6"/>
  <c r="H66" i="6"/>
  <c r="H67" i="6"/>
  <c r="H68" i="6"/>
  <c r="H69" i="6"/>
  <c r="H70" i="6"/>
  <c r="H71" i="6"/>
  <c r="H72" i="6"/>
  <c r="H76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0" i="6"/>
  <c r="H101" i="6"/>
  <c r="H105" i="6"/>
  <c r="H106" i="6"/>
  <c r="H109" i="6"/>
  <c r="H110" i="6"/>
  <c r="H111" i="6"/>
  <c r="H112" i="6"/>
  <c r="H113" i="6"/>
  <c r="H114" i="6"/>
  <c r="H117" i="6"/>
  <c r="H118" i="6"/>
  <c r="H119" i="6"/>
  <c r="H124" i="6"/>
  <c r="H125" i="6"/>
  <c r="H126" i="6"/>
  <c r="H128" i="6"/>
  <c r="H132" i="6"/>
  <c r="H133" i="6"/>
  <c r="H134" i="6"/>
  <c r="H135" i="6"/>
  <c r="H139" i="6"/>
  <c r="H140" i="6"/>
  <c r="H141" i="6"/>
  <c r="H142" i="6"/>
  <c r="H143" i="6"/>
  <c r="H144" i="6"/>
  <c r="H145" i="6"/>
  <c r="H148" i="6"/>
  <c r="H149" i="6"/>
  <c r="H150" i="6"/>
  <c r="H151" i="6"/>
  <c r="H155" i="6"/>
  <c r="H156" i="6"/>
  <c r="H157" i="6"/>
  <c r="H159" i="6"/>
  <c r="H161" i="6"/>
  <c r="H162" i="6"/>
  <c r="H164" i="6"/>
  <c r="H165" i="6"/>
  <c r="H166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4" i="6"/>
  <c r="H195" i="6"/>
  <c r="H196" i="6"/>
  <c r="H197" i="6"/>
  <c r="H198" i="6"/>
  <c r="H200" i="6"/>
  <c r="H201" i="6"/>
  <c r="H202" i="6"/>
  <c r="H203" i="6"/>
  <c r="H204" i="6"/>
  <c r="H205" i="6"/>
  <c r="H206" i="6"/>
  <c r="H207" i="6"/>
  <c r="H209" i="6"/>
  <c r="H210" i="6"/>
  <c r="H211" i="6"/>
  <c r="H212" i="6"/>
  <c r="H213" i="6"/>
  <c r="H214" i="6"/>
  <c r="H215" i="6"/>
  <c r="H217" i="6"/>
  <c r="H218" i="6"/>
  <c r="H219" i="6"/>
  <c r="H220" i="6"/>
  <c r="H221" i="6"/>
  <c r="H222" i="6"/>
  <c r="H223" i="6"/>
  <c r="H224" i="6"/>
  <c r="H225" i="6"/>
  <c r="H226" i="6"/>
  <c r="H227" i="6"/>
  <c r="H229" i="6"/>
  <c r="H230" i="6"/>
  <c r="H231" i="6"/>
  <c r="H232" i="6"/>
  <c r="H233" i="6"/>
  <c r="H234" i="6"/>
  <c r="H236" i="6"/>
  <c r="H237" i="6"/>
  <c r="H238" i="6"/>
  <c r="H239" i="6"/>
  <c r="H240" i="6"/>
  <c r="H241" i="6"/>
  <c r="H242" i="6"/>
  <c r="H243" i="6"/>
  <c r="H244" i="6"/>
  <c r="H245" i="6"/>
  <c r="H246" i="6"/>
  <c r="H248" i="6"/>
  <c r="H249" i="6"/>
  <c r="H250" i="6"/>
  <c r="H251" i="6"/>
  <c r="H253" i="6"/>
  <c r="H254" i="6"/>
  <c r="H255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4" i="6"/>
  <c r="H315" i="6"/>
  <c r="H316" i="6"/>
  <c r="H320" i="6"/>
  <c r="H321" i="6"/>
  <c r="H322" i="6"/>
  <c r="H323" i="6"/>
  <c r="H325" i="6"/>
  <c r="H327" i="6"/>
  <c r="H328" i="6"/>
  <c r="H329" i="6"/>
  <c r="H330" i="6"/>
  <c r="H332" i="6"/>
  <c r="H333" i="6"/>
  <c r="H335" i="6"/>
  <c r="H336" i="6"/>
  <c r="H337" i="6"/>
  <c r="H339" i="6"/>
  <c r="H340" i="6"/>
  <c r="H342" i="6"/>
  <c r="H347" i="6"/>
  <c r="H348" i="6"/>
  <c r="H349" i="6"/>
  <c r="H350" i="6"/>
  <c r="H351" i="6"/>
  <c r="H352" i="6"/>
  <c r="H354" i="6"/>
  <c r="H355" i="6"/>
  <c r="H357" i="6"/>
  <c r="H358" i="6"/>
  <c r="H360" i="6"/>
  <c r="H361" i="6"/>
  <c r="H362" i="6"/>
  <c r="H363" i="6"/>
  <c r="H364" i="6"/>
  <c r="H365" i="6"/>
  <c r="H366" i="6"/>
  <c r="H368" i="6"/>
  <c r="H369" i="6"/>
  <c r="H373" i="6"/>
  <c r="H374" i="6"/>
  <c r="H376" i="6"/>
  <c r="H377" i="6"/>
  <c r="H378" i="6"/>
  <c r="H379" i="6"/>
  <c r="H380" i="6"/>
  <c r="H382" i="6"/>
  <c r="H383" i="6"/>
  <c r="H385" i="6"/>
  <c r="H387" i="6"/>
  <c r="H388" i="6"/>
  <c r="H392" i="6"/>
  <c r="H393" i="6"/>
  <c r="H394" i="6"/>
  <c r="H395" i="6"/>
  <c r="H396" i="6"/>
  <c r="H398" i="6"/>
  <c r="H400" i="6"/>
  <c r="H401" i="6"/>
  <c r="H402" i="6"/>
  <c r="H403" i="6"/>
  <c r="H404" i="6"/>
  <c r="H405" i="6"/>
  <c r="H406" i="6"/>
  <c r="H407" i="6"/>
  <c r="H409" i="6"/>
  <c r="H410" i="6"/>
  <c r="H412" i="6"/>
  <c r="H413" i="6"/>
  <c r="H414" i="6"/>
  <c r="H415" i="6"/>
  <c r="H416" i="6"/>
  <c r="H418" i="6"/>
  <c r="H419" i="6"/>
  <c r="H421" i="6"/>
  <c r="H423" i="6"/>
  <c r="H425" i="6"/>
  <c r="H427" i="6"/>
  <c r="H428" i="6"/>
  <c r="H429" i="6"/>
  <c r="H430" i="6"/>
  <c r="H431" i="6"/>
  <c r="H434" i="6"/>
  <c r="H435" i="6"/>
  <c r="H437" i="6"/>
  <c r="H439" i="6"/>
  <c r="H440" i="6"/>
  <c r="H441" i="6"/>
  <c r="H442" i="6"/>
  <c r="H443" i="6"/>
  <c r="H444" i="6"/>
  <c r="H445" i="6"/>
  <c r="H446" i="6"/>
  <c r="H447" i="6"/>
  <c r="H448" i="6"/>
  <c r="H449" i="6"/>
  <c r="H451" i="6"/>
  <c r="H452" i="6"/>
  <c r="H453" i="6"/>
  <c r="H455" i="6"/>
  <c r="H456" i="6"/>
  <c r="H458" i="6"/>
  <c r="H459" i="6"/>
  <c r="H460" i="6"/>
  <c r="H462" i="6"/>
  <c r="H463" i="6"/>
  <c r="H468" i="6"/>
  <c r="H469" i="6"/>
  <c r="H470" i="6"/>
  <c r="H473" i="6"/>
  <c r="H474" i="6"/>
  <c r="H477" i="6"/>
  <c r="H478" i="6"/>
  <c r="H479" i="6"/>
  <c r="H480" i="6"/>
  <c r="H481" i="6"/>
  <c r="H482" i="6"/>
  <c r="H485" i="6"/>
  <c r="H486" i="6"/>
  <c r="H487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5" i="6"/>
  <c r="H506" i="6"/>
  <c r="H507" i="6"/>
  <c r="H509" i="6"/>
  <c r="H510" i="6"/>
  <c r="H511" i="6"/>
  <c r="H512" i="6"/>
  <c r="H513" i="6"/>
  <c r="H514" i="6"/>
  <c r="H516" i="6"/>
  <c r="H517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7" i="6"/>
  <c r="H568" i="6"/>
  <c r="H569" i="6"/>
  <c r="H570" i="6"/>
  <c r="H571" i="6"/>
  <c r="H572" i="6"/>
  <c r="H573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91" i="6"/>
  <c r="H592" i="6"/>
  <c r="H593" i="6"/>
  <c r="H594" i="6"/>
  <c r="H595" i="6"/>
  <c r="H596" i="6"/>
  <c r="H599" i="6"/>
  <c r="H600" i="6"/>
  <c r="H601" i="6"/>
  <c r="H602" i="6"/>
  <c r="H603" i="6"/>
  <c r="H604" i="6"/>
  <c r="H608" i="6"/>
  <c r="H609" i="6"/>
  <c r="H610" i="6"/>
  <c r="H612" i="6"/>
  <c r="H613" i="6"/>
  <c r="H614" i="6"/>
  <c r="H615" i="6"/>
  <c r="H617" i="6"/>
  <c r="H619" i="6"/>
  <c r="H620" i="6"/>
  <c r="H621" i="6"/>
  <c r="H623" i="6"/>
  <c r="H628" i="6"/>
  <c r="H629" i="6"/>
  <c r="H630" i="6"/>
  <c r="H631" i="6"/>
  <c r="H632" i="6"/>
  <c r="H633" i="6"/>
  <c r="H634" i="6"/>
  <c r="H636" i="6"/>
  <c r="H637" i="6"/>
  <c r="H639" i="6"/>
  <c r="H640" i="6"/>
  <c r="H641" i="6"/>
  <c r="H642" i="6"/>
  <c r="H644" i="6"/>
  <c r="H645" i="6"/>
  <c r="H647" i="6"/>
  <c r="H648" i="6"/>
  <c r="H649" i="6"/>
  <c r="H650" i="6"/>
  <c r="H651" i="6"/>
  <c r="H652" i="6"/>
  <c r="H653" i="6"/>
  <c r="H654" i="6"/>
  <c r="H657" i="6"/>
  <c r="H658" i="6"/>
  <c r="H660" i="6"/>
  <c r="H662" i="6"/>
  <c r="H664" i="6"/>
  <c r="H666" i="6"/>
  <c r="H667" i="6"/>
  <c r="H668" i="6"/>
  <c r="H669" i="6"/>
  <c r="H670" i="6"/>
  <c r="H671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9" i="6"/>
  <c r="H690" i="6"/>
  <c r="H691" i="6"/>
  <c r="H692" i="6"/>
  <c r="H693" i="6"/>
  <c r="H694" i="6"/>
  <c r="H695" i="6"/>
  <c r="H697" i="6"/>
  <c r="H701" i="6"/>
  <c r="H702" i="6"/>
  <c r="H703" i="6"/>
  <c r="H707" i="6"/>
  <c r="H708" i="6"/>
  <c r="H709" i="6"/>
  <c r="H710" i="6"/>
  <c r="H711" i="6"/>
  <c r="H712" i="6"/>
  <c r="H714" i="6"/>
  <c r="H716" i="6"/>
  <c r="H717" i="6"/>
  <c r="H718" i="6"/>
  <c r="H719" i="6"/>
  <c r="H725" i="6"/>
  <c r="H726" i="6"/>
  <c r="H728" i="6"/>
  <c r="H730" i="6"/>
  <c r="H731" i="6"/>
  <c r="H733" i="6"/>
  <c r="H734" i="6"/>
  <c r="H736" i="6"/>
  <c r="H738" i="6"/>
  <c r="H740" i="6"/>
  <c r="H741" i="6"/>
  <c r="H743" i="6"/>
  <c r="H745" i="6"/>
  <c r="H746" i="6"/>
  <c r="H749" i="6"/>
  <c r="H751" i="6"/>
  <c r="H752" i="6"/>
  <c r="H754" i="6"/>
  <c r="H756" i="6"/>
  <c r="H758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8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8" i="6"/>
  <c r="H799" i="6"/>
  <c r="H15" i="6"/>
  <c r="P819" i="7" l="1"/>
  <c r="O819" i="7"/>
  <c r="K6" i="7"/>
  <c r="K7" i="7"/>
  <c r="I8" i="7"/>
  <c r="J799" i="6"/>
  <c r="I799" i="6"/>
  <c r="J798" i="6"/>
  <c r="I798" i="6"/>
  <c r="J795" i="6"/>
  <c r="I795" i="6"/>
  <c r="J794" i="6"/>
  <c r="I794" i="6"/>
  <c r="J793" i="6"/>
  <c r="I793" i="6"/>
  <c r="J792" i="6"/>
  <c r="I792" i="6"/>
  <c r="J791" i="6"/>
  <c r="I791" i="6"/>
  <c r="J790" i="6"/>
  <c r="I790" i="6"/>
  <c r="J789" i="6"/>
  <c r="I789" i="6"/>
  <c r="J788" i="6"/>
  <c r="I788" i="6"/>
  <c r="J787" i="6"/>
  <c r="I787" i="6"/>
  <c r="J786" i="6"/>
  <c r="I786" i="6"/>
  <c r="J785" i="6"/>
  <c r="I785" i="6"/>
  <c r="J784" i="6"/>
  <c r="I784" i="6"/>
  <c r="J783" i="6"/>
  <c r="I783" i="6"/>
  <c r="J778" i="6"/>
  <c r="I778" i="6"/>
  <c r="K778" i="6" s="1"/>
  <c r="K779" i="6" s="1"/>
  <c r="J774" i="6"/>
  <c r="I774" i="6"/>
  <c r="K774" i="6" s="1"/>
  <c r="J773" i="6"/>
  <c r="I773" i="6"/>
  <c r="K773" i="6" s="1"/>
  <c r="J772" i="6"/>
  <c r="I772" i="6"/>
  <c r="K772" i="6" s="1"/>
  <c r="J771" i="6"/>
  <c r="I771" i="6"/>
  <c r="K771" i="6" s="1"/>
  <c r="J770" i="6"/>
  <c r="I770" i="6"/>
  <c r="K770" i="6" s="1"/>
  <c r="J769" i="6"/>
  <c r="I769" i="6"/>
  <c r="K769" i="6" s="1"/>
  <c r="J768" i="6"/>
  <c r="I768" i="6"/>
  <c r="K768" i="6" s="1"/>
  <c r="J767" i="6"/>
  <c r="I767" i="6"/>
  <c r="K767" i="6" s="1"/>
  <c r="J766" i="6"/>
  <c r="I766" i="6"/>
  <c r="K766" i="6" s="1"/>
  <c r="J765" i="6"/>
  <c r="I765" i="6"/>
  <c r="K765" i="6" s="1"/>
  <c r="J764" i="6"/>
  <c r="I764" i="6"/>
  <c r="K764" i="6" s="1"/>
  <c r="J763" i="6"/>
  <c r="I763" i="6"/>
  <c r="K763" i="6" s="1"/>
  <c r="J762" i="6"/>
  <c r="I762" i="6"/>
  <c r="K762" i="6" s="1"/>
  <c r="J758" i="6"/>
  <c r="I758" i="6"/>
  <c r="K758" i="6" s="1"/>
  <c r="J756" i="6"/>
  <c r="I756" i="6"/>
  <c r="K756" i="6" s="1"/>
  <c r="J754" i="6"/>
  <c r="I754" i="6"/>
  <c r="K754" i="6" s="1"/>
  <c r="J752" i="6"/>
  <c r="I752" i="6"/>
  <c r="K752" i="6" s="1"/>
  <c r="J751" i="6"/>
  <c r="I751" i="6"/>
  <c r="K751" i="6" s="1"/>
  <c r="J749" i="6"/>
  <c r="I749" i="6"/>
  <c r="K749" i="6" s="1"/>
  <c r="J746" i="6"/>
  <c r="I746" i="6"/>
  <c r="K746" i="6" s="1"/>
  <c r="J745" i="6"/>
  <c r="I745" i="6"/>
  <c r="K745" i="6" s="1"/>
  <c r="J743" i="6"/>
  <c r="I743" i="6"/>
  <c r="K743" i="6" s="1"/>
  <c r="J741" i="6"/>
  <c r="I741" i="6"/>
  <c r="K741" i="6" s="1"/>
  <c r="J740" i="6"/>
  <c r="I740" i="6"/>
  <c r="K740" i="6" s="1"/>
  <c r="J738" i="6"/>
  <c r="I738" i="6"/>
  <c r="K738" i="6" s="1"/>
  <c r="J736" i="6"/>
  <c r="I736" i="6"/>
  <c r="K736" i="6" s="1"/>
  <c r="J734" i="6"/>
  <c r="I734" i="6"/>
  <c r="K734" i="6" s="1"/>
  <c r="J733" i="6"/>
  <c r="I733" i="6"/>
  <c r="K733" i="6" s="1"/>
  <c r="J731" i="6"/>
  <c r="I731" i="6"/>
  <c r="K731" i="6" s="1"/>
  <c r="J730" i="6"/>
  <c r="I730" i="6"/>
  <c r="K730" i="6" s="1"/>
  <c r="J728" i="6"/>
  <c r="I728" i="6"/>
  <c r="K728" i="6" s="1"/>
  <c r="J726" i="6"/>
  <c r="I726" i="6"/>
  <c r="K726" i="6" s="1"/>
  <c r="J725" i="6"/>
  <c r="I725" i="6"/>
  <c r="K725" i="6" s="1"/>
  <c r="J719" i="6"/>
  <c r="I719" i="6"/>
  <c r="K719" i="6" s="1"/>
  <c r="J718" i="6"/>
  <c r="I718" i="6"/>
  <c r="K718" i="6" s="1"/>
  <c r="J717" i="6"/>
  <c r="I717" i="6"/>
  <c r="K717" i="6" s="1"/>
  <c r="J716" i="6"/>
  <c r="I716" i="6"/>
  <c r="K716" i="6" s="1"/>
  <c r="J715" i="6"/>
  <c r="I715" i="6"/>
  <c r="K715" i="6" s="1"/>
  <c r="J714" i="6"/>
  <c r="I714" i="6"/>
  <c r="K714" i="6" s="1"/>
  <c r="J712" i="6"/>
  <c r="I712" i="6"/>
  <c r="K712" i="6" s="1"/>
  <c r="J711" i="6"/>
  <c r="I711" i="6"/>
  <c r="K711" i="6" s="1"/>
  <c r="J710" i="6"/>
  <c r="I710" i="6"/>
  <c r="K710" i="6" s="1"/>
  <c r="J709" i="6"/>
  <c r="I709" i="6"/>
  <c r="K709" i="6" s="1"/>
  <c r="J708" i="6"/>
  <c r="I708" i="6"/>
  <c r="K708" i="6" s="1"/>
  <c r="J707" i="6"/>
  <c r="I707" i="6"/>
  <c r="K707" i="6" s="1"/>
  <c r="J703" i="6"/>
  <c r="I703" i="6"/>
  <c r="K703" i="6" s="1"/>
  <c r="J702" i="6"/>
  <c r="I702" i="6"/>
  <c r="K702" i="6" s="1"/>
  <c r="J701" i="6"/>
  <c r="I701" i="6"/>
  <c r="K701" i="6" s="1"/>
  <c r="J697" i="6"/>
  <c r="I697" i="6"/>
  <c r="K697" i="6" s="1"/>
  <c r="J695" i="6"/>
  <c r="I695" i="6"/>
  <c r="K695" i="6" s="1"/>
  <c r="J694" i="6"/>
  <c r="I694" i="6"/>
  <c r="K694" i="6" s="1"/>
  <c r="J693" i="6"/>
  <c r="I693" i="6"/>
  <c r="K693" i="6" s="1"/>
  <c r="J692" i="6"/>
  <c r="I692" i="6"/>
  <c r="K692" i="6" s="1"/>
  <c r="J691" i="6"/>
  <c r="I691" i="6"/>
  <c r="K691" i="6" s="1"/>
  <c r="J690" i="6"/>
  <c r="I690" i="6"/>
  <c r="K690" i="6" s="1"/>
  <c r="J689" i="6"/>
  <c r="I689" i="6"/>
  <c r="K689" i="6" s="1"/>
  <c r="J687" i="6"/>
  <c r="I687" i="6"/>
  <c r="K687" i="6" s="1"/>
  <c r="J686" i="6"/>
  <c r="I686" i="6"/>
  <c r="K686" i="6" s="1"/>
  <c r="J685" i="6"/>
  <c r="I685" i="6"/>
  <c r="K685" i="6" s="1"/>
  <c r="J684" i="6"/>
  <c r="I684" i="6"/>
  <c r="K684" i="6" s="1"/>
  <c r="J683" i="6"/>
  <c r="I683" i="6"/>
  <c r="K683" i="6" s="1"/>
  <c r="J682" i="6"/>
  <c r="I682" i="6"/>
  <c r="K682" i="6" s="1"/>
  <c r="J681" i="6"/>
  <c r="I681" i="6"/>
  <c r="K681" i="6" s="1"/>
  <c r="J680" i="6"/>
  <c r="I680" i="6"/>
  <c r="K680" i="6" s="1"/>
  <c r="J679" i="6"/>
  <c r="I679" i="6"/>
  <c r="K679" i="6" s="1"/>
  <c r="J678" i="6"/>
  <c r="I678" i="6"/>
  <c r="K678" i="6" s="1"/>
  <c r="J677" i="6"/>
  <c r="I677" i="6"/>
  <c r="K677" i="6" s="1"/>
  <c r="J676" i="6"/>
  <c r="I676" i="6"/>
  <c r="K676" i="6" s="1"/>
  <c r="J675" i="6"/>
  <c r="I675" i="6"/>
  <c r="K675" i="6" s="1"/>
  <c r="J674" i="6"/>
  <c r="I674" i="6"/>
  <c r="K674" i="6" s="1"/>
  <c r="J673" i="6"/>
  <c r="I673" i="6"/>
  <c r="K673" i="6" s="1"/>
  <c r="J671" i="6"/>
  <c r="I671" i="6"/>
  <c r="K671" i="6" s="1"/>
  <c r="J670" i="6"/>
  <c r="I670" i="6"/>
  <c r="K670" i="6" s="1"/>
  <c r="J669" i="6"/>
  <c r="I669" i="6"/>
  <c r="K669" i="6" s="1"/>
  <c r="J668" i="6"/>
  <c r="I668" i="6"/>
  <c r="K668" i="6" s="1"/>
  <c r="J667" i="6"/>
  <c r="I667" i="6"/>
  <c r="K667" i="6" s="1"/>
  <c r="J666" i="6"/>
  <c r="I666" i="6"/>
  <c r="K666" i="6" s="1"/>
  <c r="J664" i="6"/>
  <c r="I664" i="6"/>
  <c r="K664" i="6" s="1"/>
  <c r="J662" i="6"/>
  <c r="I662" i="6"/>
  <c r="K662" i="6" s="1"/>
  <c r="J660" i="6"/>
  <c r="I660" i="6"/>
  <c r="K660" i="6" s="1"/>
  <c r="J658" i="6"/>
  <c r="I658" i="6"/>
  <c r="K658" i="6" s="1"/>
  <c r="J657" i="6"/>
  <c r="I657" i="6"/>
  <c r="K657" i="6" s="1"/>
  <c r="J654" i="6"/>
  <c r="I654" i="6"/>
  <c r="K654" i="6" s="1"/>
  <c r="J653" i="6"/>
  <c r="I653" i="6"/>
  <c r="K653" i="6" s="1"/>
  <c r="J652" i="6"/>
  <c r="I652" i="6"/>
  <c r="K652" i="6" s="1"/>
  <c r="J651" i="6"/>
  <c r="I651" i="6"/>
  <c r="K651" i="6" s="1"/>
  <c r="J650" i="6"/>
  <c r="I650" i="6"/>
  <c r="K650" i="6" s="1"/>
  <c r="J649" i="6"/>
  <c r="I649" i="6"/>
  <c r="K649" i="6" s="1"/>
  <c r="J648" i="6"/>
  <c r="I648" i="6"/>
  <c r="K648" i="6" s="1"/>
  <c r="J647" i="6"/>
  <c r="I647" i="6"/>
  <c r="K647" i="6" s="1"/>
  <c r="J645" i="6"/>
  <c r="I645" i="6"/>
  <c r="K645" i="6" s="1"/>
  <c r="J644" i="6"/>
  <c r="I644" i="6"/>
  <c r="K644" i="6" s="1"/>
  <c r="J642" i="6"/>
  <c r="I642" i="6"/>
  <c r="K642" i="6" s="1"/>
  <c r="J641" i="6"/>
  <c r="I641" i="6"/>
  <c r="K641" i="6" s="1"/>
  <c r="J640" i="6"/>
  <c r="I640" i="6"/>
  <c r="K640" i="6" s="1"/>
  <c r="J639" i="6"/>
  <c r="I639" i="6"/>
  <c r="K639" i="6" s="1"/>
  <c r="J637" i="6"/>
  <c r="I637" i="6"/>
  <c r="K637" i="6" s="1"/>
  <c r="J636" i="6"/>
  <c r="I636" i="6"/>
  <c r="K636" i="6" s="1"/>
  <c r="J634" i="6"/>
  <c r="I634" i="6"/>
  <c r="K634" i="6" s="1"/>
  <c r="J633" i="6"/>
  <c r="I633" i="6"/>
  <c r="K633" i="6" s="1"/>
  <c r="J632" i="6"/>
  <c r="I632" i="6"/>
  <c r="K632" i="6" s="1"/>
  <c r="J631" i="6"/>
  <c r="I631" i="6"/>
  <c r="K631" i="6" s="1"/>
  <c r="J630" i="6"/>
  <c r="I630" i="6"/>
  <c r="K630" i="6" s="1"/>
  <c r="J629" i="6"/>
  <c r="I629" i="6"/>
  <c r="K629" i="6" s="1"/>
  <c r="J628" i="6"/>
  <c r="I628" i="6"/>
  <c r="K628" i="6" s="1"/>
  <c r="J623" i="6"/>
  <c r="I623" i="6"/>
  <c r="K623" i="6" s="1"/>
  <c r="J621" i="6"/>
  <c r="I621" i="6"/>
  <c r="K621" i="6" s="1"/>
  <c r="J620" i="6"/>
  <c r="I620" i="6"/>
  <c r="K620" i="6" s="1"/>
  <c r="J619" i="6"/>
  <c r="I619" i="6"/>
  <c r="K619" i="6" s="1"/>
  <c r="J617" i="6"/>
  <c r="I617" i="6"/>
  <c r="K617" i="6" s="1"/>
  <c r="J615" i="6"/>
  <c r="I615" i="6"/>
  <c r="K615" i="6" s="1"/>
  <c r="J614" i="6"/>
  <c r="I614" i="6"/>
  <c r="K614" i="6" s="1"/>
  <c r="J613" i="6"/>
  <c r="I613" i="6"/>
  <c r="K613" i="6" s="1"/>
  <c r="J612" i="6"/>
  <c r="I612" i="6"/>
  <c r="K612" i="6" s="1"/>
  <c r="J610" i="6"/>
  <c r="I610" i="6"/>
  <c r="K610" i="6" s="1"/>
  <c r="J609" i="6"/>
  <c r="I609" i="6"/>
  <c r="K609" i="6" s="1"/>
  <c r="J608" i="6"/>
  <c r="I608" i="6"/>
  <c r="K608" i="6" s="1"/>
  <c r="J604" i="6"/>
  <c r="I604" i="6"/>
  <c r="K604" i="6" s="1"/>
  <c r="J603" i="6"/>
  <c r="I603" i="6"/>
  <c r="K603" i="6" s="1"/>
  <c r="J602" i="6"/>
  <c r="I602" i="6"/>
  <c r="K602" i="6" s="1"/>
  <c r="J601" i="6"/>
  <c r="I601" i="6"/>
  <c r="K601" i="6" s="1"/>
  <c r="J600" i="6"/>
  <c r="I600" i="6"/>
  <c r="K600" i="6" s="1"/>
  <c r="J599" i="6"/>
  <c r="I599" i="6"/>
  <c r="K599" i="6" s="1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88" i="6"/>
  <c r="I588" i="6"/>
  <c r="K588" i="6" s="1"/>
  <c r="J587" i="6"/>
  <c r="I587" i="6"/>
  <c r="K587" i="6" s="1"/>
  <c r="J586" i="6"/>
  <c r="I586" i="6"/>
  <c r="K586" i="6" s="1"/>
  <c r="J585" i="6"/>
  <c r="I585" i="6"/>
  <c r="K585" i="6" s="1"/>
  <c r="J584" i="6"/>
  <c r="I584" i="6"/>
  <c r="K584" i="6" s="1"/>
  <c r="J583" i="6"/>
  <c r="I583" i="6"/>
  <c r="K583" i="6" s="1"/>
  <c r="J582" i="6"/>
  <c r="I582" i="6"/>
  <c r="K582" i="6" s="1"/>
  <c r="J581" i="6"/>
  <c r="I581" i="6"/>
  <c r="K581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3" i="6"/>
  <c r="I573" i="6"/>
  <c r="K573" i="6" s="1"/>
  <c r="J572" i="6"/>
  <c r="I572" i="6"/>
  <c r="K572" i="6" s="1"/>
  <c r="J571" i="6"/>
  <c r="I571" i="6"/>
  <c r="K571" i="6" s="1"/>
  <c r="J570" i="6"/>
  <c r="I570" i="6"/>
  <c r="K570" i="6" s="1"/>
  <c r="J569" i="6"/>
  <c r="I569" i="6"/>
  <c r="K569" i="6" s="1"/>
  <c r="J568" i="6"/>
  <c r="I568" i="6"/>
  <c r="K568" i="6" s="1"/>
  <c r="J567" i="6"/>
  <c r="I567" i="6"/>
  <c r="K567" i="6" s="1"/>
  <c r="J564" i="6"/>
  <c r="I564" i="6"/>
  <c r="K564" i="6" s="1"/>
  <c r="J563" i="6"/>
  <c r="I563" i="6"/>
  <c r="K563" i="6" s="1"/>
  <c r="J562" i="6"/>
  <c r="I562" i="6"/>
  <c r="K562" i="6" s="1"/>
  <c r="J561" i="6"/>
  <c r="I561" i="6"/>
  <c r="K561" i="6" s="1"/>
  <c r="J560" i="6"/>
  <c r="I560" i="6"/>
  <c r="K560" i="6" s="1"/>
  <c r="J559" i="6"/>
  <c r="I559" i="6"/>
  <c r="K559" i="6" s="1"/>
  <c r="J558" i="6"/>
  <c r="I558" i="6"/>
  <c r="K558" i="6" s="1"/>
  <c r="J557" i="6"/>
  <c r="I557" i="6"/>
  <c r="K557" i="6" s="1"/>
  <c r="J556" i="6"/>
  <c r="I556" i="6"/>
  <c r="K556" i="6" s="1"/>
  <c r="J555" i="6"/>
  <c r="I555" i="6"/>
  <c r="K555" i="6" s="1"/>
  <c r="J554" i="6"/>
  <c r="I554" i="6"/>
  <c r="K554" i="6" s="1"/>
  <c r="J553" i="6"/>
  <c r="I553" i="6"/>
  <c r="K553" i="6" s="1"/>
  <c r="J552" i="6"/>
  <c r="I552" i="6"/>
  <c r="K552" i="6" s="1"/>
  <c r="J551" i="6"/>
  <c r="I551" i="6"/>
  <c r="K551" i="6" s="1"/>
  <c r="J550" i="6"/>
  <c r="I550" i="6"/>
  <c r="K550" i="6" s="1"/>
  <c r="J549" i="6"/>
  <c r="I549" i="6"/>
  <c r="K549" i="6" s="1"/>
  <c r="J546" i="6"/>
  <c r="I546" i="6"/>
  <c r="K546" i="6" s="1"/>
  <c r="J545" i="6"/>
  <c r="I545" i="6"/>
  <c r="K545" i="6" s="1"/>
  <c r="J544" i="6"/>
  <c r="I544" i="6"/>
  <c r="K544" i="6" s="1"/>
  <c r="J543" i="6"/>
  <c r="I543" i="6"/>
  <c r="K543" i="6" s="1"/>
  <c r="J542" i="6"/>
  <c r="I542" i="6"/>
  <c r="K542" i="6" s="1"/>
  <c r="J541" i="6"/>
  <c r="I541" i="6"/>
  <c r="K541" i="6" s="1"/>
  <c r="J540" i="6"/>
  <c r="I540" i="6"/>
  <c r="K540" i="6" s="1"/>
  <c r="J539" i="6"/>
  <c r="I539" i="6"/>
  <c r="K539" i="6" s="1"/>
  <c r="J538" i="6"/>
  <c r="I538" i="6"/>
  <c r="K538" i="6" s="1"/>
  <c r="J537" i="6"/>
  <c r="I537" i="6"/>
  <c r="K537" i="6" s="1"/>
  <c r="J536" i="6"/>
  <c r="I536" i="6"/>
  <c r="K536" i="6" s="1"/>
  <c r="J535" i="6"/>
  <c r="I535" i="6"/>
  <c r="K535" i="6" s="1"/>
  <c r="J532" i="6"/>
  <c r="I532" i="6"/>
  <c r="K532" i="6" s="1"/>
  <c r="J531" i="6"/>
  <c r="I531" i="6"/>
  <c r="K531" i="6" s="1"/>
  <c r="J530" i="6"/>
  <c r="I530" i="6"/>
  <c r="K530" i="6" s="1"/>
  <c r="J529" i="6"/>
  <c r="I529" i="6"/>
  <c r="K529" i="6" s="1"/>
  <c r="J528" i="6"/>
  <c r="I528" i="6"/>
  <c r="K528" i="6" s="1"/>
  <c r="J527" i="6"/>
  <c r="I527" i="6"/>
  <c r="K527" i="6" s="1"/>
  <c r="J526" i="6"/>
  <c r="I526" i="6"/>
  <c r="K526" i="6" s="1"/>
  <c r="J525" i="6"/>
  <c r="I525" i="6"/>
  <c r="K525" i="6" s="1"/>
  <c r="J524" i="6"/>
  <c r="I524" i="6"/>
  <c r="K524" i="6" s="1"/>
  <c r="J523" i="6"/>
  <c r="I523" i="6"/>
  <c r="K523" i="6" s="1"/>
  <c r="J522" i="6"/>
  <c r="I522" i="6"/>
  <c r="K522" i="6" s="1"/>
  <c r="J521" i="6"/>
  <c r="I521" i="6"/>
  <c r="K521" i="6" s="1"/>
  <c r="J520" i="6"/>
  <c r="I520" i="6"/>
  <c r="K520" i="6" s="1"/>
  <c r="J517" i="6"/>
  <c r="I517" i="6"/>
  <c r="K517" i="6" s="1"/>
  <c r="J516" i="6"/>
  <c r="I516" i="6"/>
  <c r="K516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7" i="6"/>
  <c r="I507" i="6"/>
  <c r="K507" i="6" s="1"/>
  <c r="J506" i="6"/>
  <c r="I506" i="6"/>
  <c r="K506" i="6" s="1"/>
  <c r="J505" i="6"/>
  <c r="I505" i="6"/>
  <c r="K505" i="6" s="1"/>
  <c r="J501" i="6"/>
  <c r="I501" i="6"/>
  <c r="K501" i="6" s="1"/>
  <c r="J500" i="6"/>
  <c r="I500" i="6"/>
  <c r="K500" i="6" s="1"/>
  <c r="J499" i="6"/>
  <c r="I499" i="6"/>
  <c r="K499" i="6" s="1"/>
  <c r="J498" i="6"/>
  <c r="I498" i="6"/>
  <c r="K498" i="6" s="1"/>
  <c r="J497" i="6"/>
  <c r="I497" i="6"/>
  <c r="K497" i="6" s="1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7" i="6"/>
  <c r="I487" i="6"/>
  <c r="K487" i="6" s="1"/>
  <c r="J486" i="6"/>
  <c r="I486" i="6"/>
  <c r="K486" i="6" s="1"/>
  <c r="J485" i="6"/>
  <c r="I485" i="6"/>
  <c r="K485" i="6" s="1"/>
  <c r="J482" i="6"/>
  <c r="I482" i="6"/>
  <c r="K482" i="6" s="1"/>
  <c r="J481" i="6"/>
  <c r="I481" i="6"/>
  <c r="K481" i="6" s="1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4" i="6"/>
  <c r="I474" i="6"/>
  <c r="K474" i="6" s="1"/>
  <c r="J473" i="6"/>
  <c r="I473" i="6"/>
  <c r="K473" i="6" s="1"/>
  <c r="J470" i="6"/>
  <c r="I470" i="6"/>
  <c r="K470" i="6" s="1"/>
  <c r="J469" i="6"/>
  <c r="I469" i="6"/>
  <c r="K469" i="6" s="1"/>
  <c r="J468" i="6"/>
  <c r="I468" i="6"/>
  <c r="K468" i="6" s="1"/>
  <c r="J463" i="6"/>
  <c r="I463" i="6"/>
  <c r="K463" i="6" s="1"/>
  <c r="J462" i="6"/>
  <c r="I462" i="6"/>
  <c r="K462" i="6" s="1"/>
  <c r="J460" i="6"/>
  <c r="I460" i="6"/>
  <c r="K460" i="6" s="1"/>
  <c r="J459" i="6"/>
  <c r="I459" i="6"/>
  <c r="K459" i="6" s="1"/>
  <c r="J458" i="6"/>
  <c r="I458" i="6"/>
  <c r="K458" i="6" s="1"/>
  <c r="J456" i="6"/>
  <c r="I456" i="6"/>
  <c r="K456" i="6" s="1"/>
  <c r="J455" i="6"/>
  <c r="I455" i="6"/>
  <c r="K455" i="6" s="1"/>
  <c r="J453" i="6"/>
  <c r="I453" i="6"/>
  <c r="K453" i="6" s="1"/>
  <c r="J452" i="6"/>
  <c r="I452" i="6"/>
  <c r="K452" i="6" s="1"/>
  <c r="J451" i="6"/>
  <c r="I451" i="6"/>
  <c r="K451" i="6" s="1"/>
  <c r="J449" i="6"/>
  <c r="I449" i="6"/>
  <c r="K449" i="6" s="1"/>
  <c r="J448" i="6"/>
  <c r="I448" i="6"/>
  <c r="K448" i="6" s="1"/>
  <c r="J447" i="6"/>
  <c r="I447" i="6"/>
  <c r="K447" i="6" s="1"/>
  <c r="J446" i="6"/>
  <c r="I446" i="6"/>
  <c r="K446" i="6" s="1"/>
  <c r="J445" i="6"/>
  <c r="I445" i="6"/>
  <c r="K445" i="6" s="1"/>
  <c r="J444" i="6"/>
  <c r="I444" i="6"/>
  <c r="K444" i="6" s="1"/>
  <c r="J443" i="6"/>
  <c r="I443" i="6"/>
  <c r="K443" i="6" s="1"/>
  <c r="J442" i="6"/>
  <c r="I442" i="6"/>
  <c r="K442" i="6" s="1"/>
  <c r="J441" i="6"/>
  <c r="I441" i="6"/>
  <c r="K441" i="6" s="1"/>
  <c r="J440" i="6"/>
  <c r="I440" i="6"/>
  <c r="K440" i="6" s="1"/>
  <c r="J439" i="6"/>
  <c r="I439" i="6"/>
  <c r="K439" i="6" s="1"/>
  <c r="J437" i="6"/>
  <c r="I437" i="6"/>
  <c r="K437" i="6" s="1"/>
  <c r="J435" i="6"/>
  <c r="I435" i="6"/>
  <c r="K435" i="6" s="1"/>
  <c r="J434" i="6"/>
  <c r="I434" i="6"/>
  <c r="K434" i="6" s="1"/>
  <c r="J431" i="6"/>
  <c r="I431" i="6"/>
  <c r="K431" i="6" s="1"/>
  <c r="J430" i="6"/>
  <c r="I430" i="6"/>
  <c r="K430" i="6" s="1"/>
  <c r="J429" i="6"/>
  <c r="I429" i="6"/>
  <c r="K429" i="6" s="1"/>
  <c r="J428" i="6"/>
  <c r="I428" i="6"/>
  <c r="K428" i="6" s="1"/>
  <c r="J427" i="6"/>
  <c r="I427" i="6"/>
  <c r="K427" i="6" s="1"/>
  <c r="J425" i="6"/>
  <c r="I425" i="6"/>
  <c r="K425" i="6" s="1"/>
  <c r="J423" i="6"/>
  <c r="I423" i="6"/>
  <c r="K423" i="6" s="1"/>
  <c r="J421" i="6"/>
  <c r="I421" i="6"/>
  <c r="K421" i="6" s="1"/>
  <c r="J419" i="6"/>
  <c r="I419" i="6"/>
  <c r="K419" i="6" s="1"/>
  <c r="J418" i="6"/>
  <c r="I418" i="6"/>
  <c r="K418" i="6" s="1"/>
  <c r="J416" i="6"/>
  <c r="I416" i="6"/>
  <c r="K416" i="6" s="1"/>
  <c r="J415" i="6"/>
  <c r="I415" i="6"/>
  <c r="K415" i="6" s="1"/>
  <c r="J414" i="6"/>
  <c r="I414" i="6"/>
  <c r="K414" i="6" s="1"/>
  <c r="J413" i="6"/>
  <c r="I413" i="6"/>
  <c r="K413" i="6" s="1"/>
  <c r="J412" i="6"/>
  <c r="I412" i="6"/>
  <c r="K412" i="6" s="1"/>
  <c r="J410" i="6"/>
  <c r="I410" i="6"/>
  <c r="K410" i="6" s="1"/>
  <c r="J409" i="6"/>
  <c r="I409" i="6"/>
  <c r="K409" i="6" s="1"/>
  <c r="J407" i="6"/>
  <c r="I407" i="6"/>
  <c r="K407" i="6" s="1"/>
  <c r="J406" i="6"/>
  <c r="I406" i="6"/>
  <c r="K406" i="6" s="1"/>
  <c r="J405" i="6"/>
  <c r="I405" i="6"/>
  <c r="K405" i="6" s="1"/>
  <c r="J404" i="6"/>
  <c r="I404" i="6"/>
  <c r="K404" i="6" s="1"/>
  <c r="J403" i="6"/>
  <c r="I403" i="6"/>
  <c r="K403" i="6" s="1"/>
  <c r="J402" i="6"/>
  <c r="I402" i="6"/>
  <c r="K402" i="6" s="1"/>
  <c r="J401" i="6"/>
  <c r="I401" i="6"/>
  <c r="K401" i="6" s="1"/>
  <c r="J400" i="6"/>
  <c r="I400" i="6"/>
  <c r="K400" i="6" s="1"/>
  <c r="J398" i="6"/>
  <c r="I398" i="6"/>
  <c r="K398" i="6" s="1"/>
  <c r="J396" i="6"/>
  <c r="I396" i="6"/>
  <c r="K396" i="6" s="1"/>
  <c r="J395" i="6"/>
  <c r="I395" i="6"/>
  <c r="K395" i="6" s="1"/>
  <c r="J394" i="6"/>
  <c r="I394" i="6"/>
  <c r="K394" i="6" s="1"/>
  <c r="J393" i="6"/>
  <c r="I393" i="6"/>
  <c r="K393" i="6" s="1"/>
  <c r="J392" i="6"/>
  <c r="I392" i="6"/>
  <c r="K392" i="6" s="1"/>
  <c r="J388" i="6"/>
  <c r="I388" i="6"/>
  <c r="K388" i="6" s="1"/>
  <c r="J387" i="6"/>
  <c r="I387" i="6"/>
  <c r="K387" i="6" s="1"/>
  <c r="J385" i="6"/>
  <c r="I385" i="6"/>
  <c r="K385" i="6" s="1"/>
  <c r="J383" i="6"/>
  <c r="I383" i="6"/>
  <c r="K383" i="6" s="1"/>
  <c r="J382" i="6"/>
  <c r="I382" i="6"/>
  <c r="K382" i="6" s="1"/>
  <c r="J380" i="6"/>
  <c r="I380" i="6"/>
  <c r="K380" i="6" s="1"/>
  <c r="J379" i="6"/>
  <c r="I379" i="6"/>
  <c r="K379" i="6" s="1"/>
  <c r="J378" i="6"/>
  <c r="I378" i="6"/>
  <c r="K378" i="6" s="1"/>
  <c r="J377" i="6"/>
  <c r="I377" i="6"/>
  <c r="K377" i="6" s="1"/>
  <c r="J376" i="6"/>
  <c r="I376" i="6"/>
  <c r="K376" i="6" s="1"/>
  <c r="J374" i="6"/>
  <c r="I374" i="6"/>
  <c r="K374" i="6" s="1"/>
  <c r="J373" i="6"/>
  <c r="I373" i="6"/>
  <c r="K373" i="6" s="1"/>
  <c r="J369" i="6"/>
  <c r="I369" i="6"/>
  <c r="K369" i="6" s="1"/>
  <c r="J368" i="6"/>
  <c r="I368" i="6"/>
  <c r="K368" i="6" s="1"/>
  <c r="J366" i="6"/>
  <c r="I366" i="6"/>
  <c r="K366" i="6" s="1"/>
  <c r="J365" i="6"/>
  <c r="I365" i="6"/>
  <c r="K365" i="6" s="1"/>
  <c r="J364" i="6"/>
  <c r="I364" i="6"/>
  <c r="K364" i="6" s="1"/>
  <c r="J363" i="6"/>
  <c r="I363" i="6"/>
  <c r="K363" i="6" s="1"/>
  <c r="J362" i="6"/>
  <c r="I362" i="6"/>
  <c r="K362" i="6" s="1"/>
  <c r="J361" i="6"/>
  <c r="I361" i="6"/>
  <c r="K361" i="6" s="1"/>
  <c r="J360" i="6"/>
  <c r="I360" i="6"/>
  <c r="K360" i="6" s="1"/>
  <c r="J358" i="6"/>
  <c r="I358" i="6"/>
  <c r="K358" i="6" s="1"/>
  <c r="J357" i="6"/>
  <c r="I357" i="6"/>
  <c r="K357" i="6" s="1"/>
  <c r="J355" i="6"/>
  <c r="I355" i="6"/>
  <c r="K355" i="6" s="1"/>
  <c r="J354" i="6"/>
  <c r="I354" i="6"/>
  <c r="K354" i="6" s="1"/>
  <c r="J352" i="6"/>
  <c r="I352" i="6"/>
  <c r="K352" i="6" s="1"/>
  <c r="J351" i="6"/>
  <c r="I351" i="6"/>
  <c r="K351" i="6" s="1"/>
  <c r="J350" i="6"/>
  <c r="I350" i="6"/>
  <c r="K350" i="6" s="1"/>
  <c r="J349" i="6"/>
  <c r="I349" i="6"/>
  <c r="K349" i="6" s="1"/>
  <c r="J348" i="6"/>
  <c r="I348" i="6"/>
  <c r="K348" i="6" s="1"/>
  <c r="J347" i="6"/>
  <c r="I347" i="6"/>
  <c r="K347" i="6" s="1"/>
  <c r="J342" i="6"/>
  <c r="I342" i="6"/>
  <c r="K342" i="6" s="1"/>
  <c r="J340" i="6"/>
  <c r="I340" i="6"/>
  <c r="K340" i="6" s="1"/>
  <c r="J339" i="6"/>
  <c r="I339" i="6"/>
  <c r="K339" i="6" s="1"/>
  <c r="J337" i="6"/>
  <c r="I337" i="6"/>
  <c r="K337" i="6" s="1"/>
  <c r="J336" i="6"/>
  <c r="I336" i="6"/>
  <c r="K336" i="6" s="1"/>
  <c r="J335" i="6"/>
  <c r="I335" i="6"/>
  <c r="K335" i="6" s="1"/>
  <c r="J333" i="6"/>
  <c r="I333" i="6"/>
  <c r="K333" i="6" s="1"/>
  <c r="J332" i="6"/>
  <c r="I332" i="6"/>
  <c r="K332" i="6" s="1"/>
  <c r="J330" i="6"/>
  <c r="I330" i="6"/>
  <c r="K330" i="6" s="1"/>
  <c r="J329" i="6"/>
  <c r="I329" i="6"/>
  <c r="K329" i="6" s="1"/>
  <c r="J328" i="6"/>
  <c r="I328" i="6"/>
  <c r="K328" i="6" s="1"/>
  <c r="J327" i="6"/>
  <c r="I327" i="6"/>
  <c r="K327" i="6" s="1"/>
  <c r="J325" i="6"/>
  <c r="I325" i="6"/>
  <c r="K325" i="6" s="1"/>
  <c r="J323" i="6"/>
  <c r="I323" i="6"/>
  <c r="K323" i="6" s="1"/>
  <c r="J322" i="6"/>
  <c r="I322" i="6"/>
  <c r="K322" i="6" s="1"/>
  <c r="J321" i="6"/>
  <c r="I321" i="6"/>
  <c r="K321" i="6" s="1"/>
  <c r="J320" i="6"/>
  <c r="I320" i="6"/>
  <c r="K320" i="6" s="1"/>
  <c r="J316" i="6"/>
  <c r="I316" i="6"/>
  <c r="K316" i="6" s="1"/>
  <c r="J315" i="6"/>
  <c r="I315" i="6"/>
  <c r="K315" i="6" s="1"/>
  <c r="J314" i="6"/>
  <c r="I314" i="6"/>
  <c r="K314" i="6" s="1"/>
  <c r="J311" i="6"/>
  <c r="I311" i="6"/>
  <c r="K311" i="6" s="1"/>
  <c r="J310" i="6"/>
  <c r="I310" i="6"/>
  <c r="K310" i="6" s="1"/>
  <c r="J309" i="6"/>
  <c r="I309" i="6"/>
  <c r="K309" i="6" s="1"/>
  <c r="J308" i="6"/>
  <c r="I308" i="6"/>
  <c r="K308" i="6" s="1"/>
  <c r="J307" i="6"/>
  <c r="I307" i="6"/>
  <c r="K307" i="6" s="1"/>
  <c r="J306" i="6"/>
  <c r="I306" i="6"/>
  <c r="K306" i="6" s="1"/>
  <c r="J305" i="6"/>
  <c r="I305" i="6"/>
  <c r="K305" i="6" s="1"/>
  <c r="J304" i="6"/>
  <c r="I304" i="6"/>
  <c r="K304" i="6" s="1"/>
  <c r="J303" i="6"/>
  <c r="I303" i="6"/>
  <c r="K303" i="6" s="1"/>
  <c r="J302" i="6"/>
  <c r="I302" i="6"/>
  <c r="K302" i="6" s="1"/>
  <c r="J301" i="6"/>
  <c r="I301" i="6"/>
  <c r="K301" i="6" s="1"/>
  <c r="J300" i="6"/>
  <c r="I300" i="6"/>
  <c r="K300" i="6" s="1"/>
  <c r="J299" i="6"/>
  <c r="I299" i="6"/>
  <c r="K299" i="6" s="1"/>
  <c r="J298" i="6"/>
  <c r="I298" i="6"/>
  <c r="K298" i="6" s="1"/>
  <c r="J297" i="6"/>
  <c r="I297" i="6"/>
  <c r="K297" i="6" s="1"/>
  <c r="J296" i="6"/>
  <c r="I296" i="6"/>
  <c r="K296" i="6" s="1"/>
  <c r="J295" i="6"/>
  <c r="I295" i="6"/>
  <c r="K295" i="6" s="1"/>
  <c r="J294" i="6"/>
  <c r="I294" i="6"/>
  <c r="K294" i="6" s="1"/>
  <c r="J293" i="6"/>
  <c r="I293" i="6"/>
  <c r="K293" i="6" s="1"/>
  <c r="J292" i="6"/>
  <c r="I292" i="6"/>
  <c r="K292" i="6" s="1"/>
  <c r="J291" i="6"/>
  <c r="I291" i="6"/>
  <c r="K291" i="6" s="1"/>
  <c r="J290" i="6"/>
  <c r="I290" i="6"/>
  <c r="K290" i="6" s="1"/>
  <c r="J289" i="6"/>
  <c r="I289" i="6"/>
  <c r="K289" i="6" s="1"/>
  <c r="J288" i="6"/>
  <c r="I288" i="6"/>
  <c r="K288" i="6" s="1"/>
  <c r="J287" i="6"/>
  <c r="I287" i="6"/>
  <c r="K287" i="6" s="1"/>
  <c r="J286" i="6"/>
  <c r="I286" i="6"/>
  <c r="K286" i="6" s="1"/>
  <c r="J285" i="6"/>
  <c r="I285" i="6"/>
  <c r="K285" i="6" s="1"/>
  <c r="J284" i="6"/>
  <c r="I284" i="6"/>
  <c r="K284" i="6" s="1"/>
  <c r="J283" i="6"/>
  <c r="I283" i="6"/>
  <c r="K283" i="6" s="1"/>
  <c r="J282" i="6"/>
  <c r="I282" i="6"/>
  <c r="K282" i="6" s="1"/>
  <c r="J281" i="6"/>
  <c r="I281" i="6"/>
  <c r="K281" i="6" s="1"/>
  <c r="J280" i="6"/>
  <c r="I280" i="6"/>
  <c r="K280" i="6" s="1"/>
  <c r="J279" i="6"/>
  <c r="I279" i="6"/>
  <c r="K279" i="6" s="1"/>
  <c r="J278" i="6"/>
  <c r="I278" i="6"/>
  <c r="K278" i="6" s="1"/>
  <c r="J277" i="6"/>
  <c r="I277" i="6"/>
  <c r="K277" i="6" s="1"/>
  <c r="J276" i="6"/>
  <c r="I276" i="6"/>
  <c r="K276" i="6" s="1"/>
  <c r="J275" i="6"/>
  <c r="I275" i="6"/>
  <c r="K275" i="6" s="1"/>
  <c r="J274" i="6"/>
  <c r="I274" i="6"/>
  <c r="K274" i="6" s="1"/>
  <c r="J273" i="6"/>
  <c r="I273" i="6"/>
  <c r="K273" i="6" s="1"/>
  <c r="J272" i="6"/>
  <c r="I272" i="6"/>
  <c r="K272" i="6" s="1"/>
  <c r="J271" i="6"/>
  <c r="I271" i="6"/>
  <c r="K271" i="6" s="1"/>
  <c r="J270" i="6"/>
  <c r="I270" i="6"/>
  <c r="K270" i="6" s="1"/>
  <c r="J269" i="6"/>
  <c r="I269" i="6"/>
  <c r="K269" i="6" s="1"/>
  <c r="J268" i="6"/>
  <c r="I268" i="6"/>
  <c r="K268" i="6" s="1"/>
  <c r="J267" i="6"/>
  <c r="I267" i="6"/>
  <c r="K267" i="6" s="1"/>
  <c r="J266" i="6"/>
  <c r="I266" i="6"/>
  <c r="K266" i="6" s="1"/>
  <c r="J265" i="6"/>
  <c r="I265" i="6"/>
  <c r="K265" i="6" s="1"/>
  <c r="J264" i="6"/>
  <c r="I264" i="6"/>
  <c r="K264" i="6" s="1"/>
  <c r="J263" i="6"/>
  <c r="I263" i="6"/>
  <c r="K263" i="6" s="1"/>
  <c r="J262" i="6"/>
  <c r="I262" i="6"/>
  <c r="K262" i="6" s="1"/>
  <c r="J261" i="6"/>
  <c r="I261" i="6"/>
  <c r="K261" i="6" s="1"/>
  <c r="J260" i="6"/>
  <c r="I260" i="6"/>
  <c r="K260" i="6" s="1"/>
  <c r="J259" i="6"/>
  <c r="I259" i="6"/>
  <c r="K259" i="6" s="1"/>
  <c r="J258" i="6"/>
  <c r="I258" i="6"/>
  <c r="K258" i="6" s="1"/>
  <c r="J255" i="6"/>
  <c r="I255" i="6"/>
  <c r="K255" i="6" s="1"/>
  <c r="J254" i="6"/>
  <c r="I254" i="6"/>
  <c r="K254" i="6" s="1"/>
  <c r="J253" i="6"/>
  <c r="I253" i="6"/>
  <c r="K253" i="6" s="1"/>
  <c r="J251" i="6"/>
  <c r="I251" i="6"/>
  <c r="K251" i="6" s="1"/>
  <c r="J250" i="6"/>
  <c r="I250" i="6"/>
  <c r="K250" i="6" s="1"/>
  <c r="J249" i="6"/>
  <c r="I249" i="6"/>
  <c r="K249" i="6" s="1"/>
  <c r="J248" i="6"/>
  <c r="I248" i="6"/>
  <c r="K248" i="6" s="1"/>
  <c r="J246" i="6"/>
  <c r="I246" i="6"/>
  <c r="K246" i="6" s="1"/>
  <c r="J245" i="6"/>
  <c r="I245" i="6"/>
  <c r="K245" i="6" s="1"/>
  <c r="J244" i="6"/>
  <c r="I244" i="6"/>
  <c r="K244" i="6" s="1"/>
  <c r="J243" i="6"/>
  <c r="I243" i="6"/>
  <c r="K243" i="6" s="1"/>
  <c r="J242" i="6"/>
  <c r="I242" i="6"/>
  <c r="K242" i="6" s="1"/>
  <c r="J241" i="6"/>
  <c r="I241" i="6"/>
  <c r="K241" i="6" s="1"/>
  <c r="J240" i="6"/>
  <c r="I240" i="6"/>
  <c r="K240" i="6" s="1"/>
  <c r="J239" i="6"/>
  <c r="I239" i="6"/>
  <c r="K239" i="6" s="1"/>
  <c r="J238" i="6"/>
  <c r="I238" i="6"/>
  <c r="K238" i="6" s="1"/>
  <c r="J237" i="6"/>
  <c r="I237" i="6"/>
  <c r="K237" i="6" s="1"/>
  <c r="J236" i="6"/>
  <c r="I236" i="6"/>
  <c r="K236" i="6" s="1"/>
  <c r="J234" i="6"/>
  <c r="I234" i="6"/>
  <c r="K234" i="6" s="1"/>
  <c r="J233" i="6"/>
  <c r="I233" i="6"/>
  <c r="K233" i="6" s="1"/>
  <c r="J232" i="6"/>
  <c r="I232" i="6"/>
  <c r="K232" i="6" s="1"/>
  <c r="J231" i="6"/>
  <c r="I231" i="6"/>
  <c r="K231" i="6" s="1"/>
  <c r="J230" i="6"/>
  <c r="I230" i="6"/>
  <c r="K230" i="6" s="1"/>
  <c r="J229" i="6"/>
  <c r="I229" i="6"/>
  <c r="K229" i="6" s="1"/>
  <c r="J227" i="6"/>
  <c r="I227" i="6"/>
  <c r="K227" i="6" s="1"/>
  <c r="J226" i="6"/>
  <c r="I226" i="6"/>
  <c r="K226" i="6" s="1"/>
  <c r="J225" i="6"/>
  <c r="I225" i="6"/>
  <c r="K225" i="6" s="1"/>
  <c r="J224" i="6"/>
  <c r="I224" i="6"/>
  <c r="K224" i="6" s="1"/>
  <c r="J223" i="6"/>
  <c r="I223" i="6"/>
  <c r="K223" i="6" s="1"/>
  <c r="J222" i="6"/>
  <c r="I222" i="6"/>
  <c r="K222" i="6" s="1"/>
  <c r="J221" i="6"/>
  <c r="I221" i="6"/>
  <c r="K221" i="6" s="1"/>
  <c r="J220" i="6"/>
  <c r="I220" i="6"/>
  <c r="K220" i="6" s="1"/>
  <c r="J219" i="6"/>
  <c r="I219" i="6"/>
  <c r="K219" i="6" s="1"/>
  <c r="J218" i="6"/>
  <c r="I218" i="6"/>
  <c r="K218" i="6" s="1"/>
  <c r="J217" i="6"/>
  <c r="I217" i="6"/>
  <c r="K217" i="6" s="1"/>
  <c r="J215" i="6"/>
  <c r="I215" i="6"/>
  <c r="K215" i="6" s="1"/>
  <c r="J214" i="6"/>
  <c r="I214" i="6"/>
  <c r="K214" i="6" s="1"/>
  <c r="J213" i="6"/>
  <c r="I213" i="6"/>
  <c r="K213" i="6" s="1"/>
  <c r="J212" i="6"/>
  <c r="I212" i="6"/>
  <c r="K212" i="6" s="1"/>
  <c r="J211" i="6"/>
  <c r="I211" i="6"/>
  <c r="K211" i="6" s="1"/>
  <c r="J210" i="6"/>
  <c r="I210" i="6"/>
  <c r="K210" i="6" s="1"/>
  <c r="J209" i="6"/>
  <c r="I209" i="6"/>
  <c r="K209" i="6" s="1"/>
  <c r="J207" i="6"/>
  <c r="I207" i="6"/>
  <c r="K207" i="6" s="1"/>
  <c r="J206" i="6"/>
  <c r="I206" i="6"/>
  <c r="K206" i="6" s="1"/>
  <c r="J205" i="6"/>
  <c r="I205" i="6"/>
  <c r="K205" i="6" s="1"/>
  <c r="J204" i="6"/>
  <c r="I204" i="6"/>
  <c r="K204" i="6" s="1"/>
  <c r="J203" i="6"/>
  <c r="I203" i="6"/>
  <c r="K203" i="6" s="1"/>
  <c r="J202" i="6"/>
  <c r="I202" i="6"/>
  <c r="K202" i="6" s="1"/>
  <c r="J201" i="6"/>
  <c r="I201" i="6"/>
  <c r="K201" i="6" s="1"/>
  <c r="J200" i="6"/>
  <c r="I200" i="6"/>
  <c r="K200" i="6" s="1"/>
  <c r="J198" i="6"/>
  <c r="I198" i="6"/>
  <c r="K198" i="6" s="1"/>
  <c r="J197" i="6"/>
  <c r="I197" i="6"/>
  <c r="K197" i="6" s="1"/>
  <c r="J196" i="6"/>
  <c r="I196" i="6"/>
  <c r="K196" i="6" s="1"/>
  <c r="J195" i="6"/>
  <c r="I195" i="6"/>
  <c r="K195" i="6" s="1"/>
  <c r="J194" i="6"/>
  <c r="I194" i="6"/>
  <c r="K194" i="6" s="1"/>
  <c r="J189" i="6"/>
  <c r="I189" i="6"/>
  <c r="K189" i="6" s="1"/>
  <c r="J188" i="6"/>
  <c r="I188" i="6"/>
  <c r="K188" i="6" s="1"/>
  <c r="J187" i="6"/>
  <c r="I187" i="6"/>
  <c r="K187" i="6" s="1"/>
  <c r="J186" i="6"/>
  <c r="I186" i="6"/>
  <c r="K186" i="6" s="1"/>
  <c r="J185" i="6"/>
  <c r="I185" i="6"/>
  <c r="K185" i="6" s="1"/>
  <c r="J184" i="6"/>
  <c r="I184" i="6"/>
  <c r="K184" i="6" s="1"/>
  <c r="J183" i="6"/>
  <c r="I183" i="6"/>
  <c r="K183" i="6" s="1"/>
  <c r="J182" i="6"/>
  <c r="I182" i="6"/>
  <c r="K182" i="6" s="1"/>
  <c r="J181" i="6"/>
  <c r="I181" i="6"/>
  <c r="K181" i="6" s="1"/>
  <c r="J180" i="6"/>
  <c r="I180" i="6"/>
  <c r="K180" i="6" s="1"/>
  <c r="J179" i="6"/>
  <c r="I179" i="6"/>
  <c r="K179" i="6" s="1"/>
  <c r="J178" i="6"/>
  <c r="I178" i="6"/>
  <c r="K178" i="6" s="1"/>
  <c r="J177" i="6"/>
  <c r="I177" i="6"/>
  <c r="K177" i="6" s="1"/>
  <c r="J176" i="6"/>
  <c r="I176" i="6"/>
  <c r="K176" i="6" s="1"/>
  <c r="J175" i="6"/>
  <c r="I175" i="6"/>
  <c r="K175" i="6" s="1"/>
  <c r="J174" i="6"/>
  <c r="I174" i="6"/>
  <c r="K174" i="6" s="1"/>
  <c r="J173" i="6"/>
  <c r="I173" i="6"/>
  <c r="K173" i="6" s="1"/>
  <c r="J172" i="6"/>
  <c r="I172" i="6"/>
  <c r="K172" i="6" s="1"/>
  <c r="J171" i="6"/>
  <c r="I171" i="6"/>
  <c r="K171" i="6" s="1"/>
  <c r="J170" i="6"/>
  <c r="I170" i="6"/>
  <c r="K170" i="6" s="1"/>
  <c r="J169" i="6"/>
  <c r="I169" i="6"/>
  <c r="K169" i="6" s="1"/>
  <c r="J166" i="6"/>
  <c r="I166" i="6"/>
  <c r="K166" i="6" s="1"/>
  <c r="J165" i="6"/>
  <c r="I165" i="6"/>
  <c r="K165" i="6" s="1"/>
  <c r="J164" i="6"/>
  <c r="I164" i="6"/>
  <c r="K164" i="6" s="1"/>
  <c r="J162" i="6"/>
  <c r="I162" i="6"/>
  <c r="K162" i="6" s="1"/>
  <c r="J161" i="6"/>
  <c r="I161" i="6"/>
  <c r="K161" i="6" s="1"/>
  <c r="J159" i="6"/>
  <c r="I159" i="6"/>
  <c r="K159" i="6" s="1"/>
  <c r="J157" i="6"/>
  <c r="I157" i="6"/>
  <c r="K157" i="6" s="1"/>
  <c r="J156" i="6"/>
  <c r="I156" i="6"/>
  <c r="K156" i="6" s="1"/>
  <c r="J155" i="6"/>
  <c r="I155" i="6"/>
  <c r="K155" i="6" s="1"/>
  <c r="J151" i="6"/>
  <c r="I151" i="6"/>
  <c r="K151" i="6" s="1"/>
  <c r="J150" i="6"/>
  <c r="I150" i="6"/>
  <c r="K150" i="6" s="1"/>
  <c r="J149" i="6"/>
  <c r="I149" i="6"/>
  <c r="K149" i="6" s="1"/>
  <c r="J148" i="6"/>
  <c r="I148" i="6"/>
  <c r="K148" i="6" s="1"/>
  <c r="J145" i="6"/>
  <c r="I145" i="6"/>
  <c r="K145" i="6" s="1"/>
  <c r="J144" i="6"/>
  <c r="I144" i="6"/>
  <c r="K144" i="6" s="1"/>
  <c r="J143" i="6"/>
  <c r="I143" i="6"/>
  <c r="K143" i="6" s="1"/>
  <c r="J142" i="6"/>
  <c r="I142" i="6"/>
  <c r="K142" i="6" s="1"/>
  <c r="J141" i="6"/>
  <c r="I141" i="6"/>
  <c r="K141" i="6" s="1"/>
  <c r="J140" i="6"/>
  <c r="I140" i="6"/>
  <c r="K140" i="6" s="1"/>
  <c r="J139" i="6"/>
  <c r="I139" i="6"/>
  <c r="K139" i="6" s="1"/>
  <c r="J135" i="6"/>
  <c r="I135" i="6"/>
  <c r="K135" i="6" s="1"/>
  <c r="J134" i="6"/>
  <c r="I134" i="6"/>
  <c r="K134" i="6" s="1"/>
  <c r="J133" i="6"/>
  <c r="I133" i="6"/>
  <c r="K133" i="6" s="1"/>
  <c r="J132" i="6"/>
  <c r="I132" i="6"/>
  <c r="K132" i="6" s="1"/>
  <c r="J128" i="6"/>
  <c r="I128" i="6"/>
  <c r="K128" i="6" s="1"/>
  <c r="J126" i="6"/>
  <c r="I126" i="6"/>
  <c r="K126" i="6" s="1"/>
  <c r="J125" i="6"/>
  <c r="I125" i="6"/>
  <c r="K125" i="6" s="1"/>
  <c r="J124" i="6"/>
  <c r="I124" i="6"/>
  <c r="K124" i="6" s="1"/>
  <c r="J119" i="6"/>
  <c r="I119" i="6"/>
  <c r="K119" i="6" s="1"/>
  <c r="J118" i="6"/>
  <c r="I118" i="6"/>
  <c r="K118" i="6" s="1"/>
  <c r="J117" i="6"/>
  <c r="I117" i="6"/>
  <c r="K117" i="6" s="1"/>
  <c r="J114" i="6"/>
  <c r="I114" i="6"/>
  <c r="K114" i="6" s="1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6" i="6"/>
  <c r="I106" i="6"/>
  <c r="K106" i="6" s="1"/>
  <c r="J105" i="6"/>
  <c r="I105" i="6"/>
  <c r="K105" i="6" s="1"/>
  <c r="J101" i="6"/>
  <c r="I101" i="6"/>
  <c r="K101" i="6" s="1"/>
  <c r="J100" i="6"/>
  <c r="I100" i="6"/>
  <c r="K100" i="6" s="1"/>
  <c r="J99" i="6"/>
  <c r="I99" i="6"/>
  <c r="K99" i="6" s="1"/>
  <c r="J97" i="6"/>
  <c r="I97" i="6"/>
  <c r="K97" i="6" s="1"/>
  <c r="J96" i="6"/>
  <c r="I96" i="6"/>
  <c r="K96" i="6" s="1"/>
  <c r="J95" i="6"/>
  <c r="I95" i="6"/>
  <c r="K95" i="6" s="1"/>
  <c r="J94" i="6"/>
  <c r="I94" i="6"/>
  <c r="K94" i="6" s="1"/>
  <c r="J93" i="6"/>
  <c r="I93" i="6"/>
  <c r="K93" i="6" s="1"/>
  <c r="J92" i="6"/>
  <c r="I92" i="6"/>
  <c r="K92" i="6" s="1"/>
  <c r="J91" i="6"/>
  <c r="I91" i="6"/>
  <c r="K91" i="6" s="1"/>
  <c r="J90" i="6"/>
  <c r="I90" i="6"/>
  <c r="K90" i="6" s="1"/>
  <c r="J89" i="6"/>
  <c r="I89" i="6"/>
  <c r="K89" i="6" s="1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I79" i="6"/>
  <c r="K79" i="6" s="1"/>
  <c r="J78" i="6"/>
  <c r="I78" i="6"/>
  <c r="K78" i="6" s="1"/>
  <c r="J76" i="6"/>
  <c r="I76" i="6"/>
  <c r="K76" i="6" s="1"/>
  <c r="J72" i="6"/>
  <c r="I72" i="6"/>
  <c r="K72" i="6" s="1"/>
  <c r="J71" i="6"/>
  <c r="I71" i="6"/>
  <c r="K71" i="6" s="1"/>
  <c r="J70" i="6"/>
  <c r="I70" i="6"/>
  <c r="K70" i="6" s="1"/>
  <c r="J69" i="6"/>
  <c r="I69" i="6"/>
  <c r="K69" i="6" s="1"/>
  <c r="J68" i="6"/>
  <c r="I68" i="6"/>
  <c r="K68" i="6" s="1"/>
  <c r="J67" i="6"/>
  <c r="I67" i="6"/>
  <c r="K67" i="6" s="1"/>
  <c r="J66" i="6"/>
  <c r="I66" i="6"/>
  <c r="K66" i="6" s="1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2" i="6"/>
  <c r="I52" i="6"/>
  <c r="K52" i="6" s="1"/>
  <c r="J51" i="6"/>
  <c r="I51" i="6"/>
  <c r="K51" i="6" s="1"/>
  <c r="J50" i="6"/>
  <c r="I50" i="6"/>
  <c r="K50" i="6" s="1"/>
  <c r="J49" i="6"/>
  <c r="I49" i="6"/>
  <c r="K49" i="6" s="1"/>
  <c r="J47" i="6"/>
  <c r="I47" i="6"/>
  <c r="K47" i="6" s="1"/>
  <c r="J46" i="6"/>
  <c r="I46" i="6"/>
  <c r="K46" i="6" s="1"/>
  <c r="J45" i="6"/>
  <c r="I45" i="6"/>
  <c r="K45" i="6" s="1"/>
  <c r="J44" i="6"/>
  <c r="I44" i="6"/>
  <c r="K44" i="6" s="1"/>
  <c r="J42" i="6"/>
  <c r="I42" i="6"/>
  <c r="J41" i="6"/>
  <c r="I41" i="6"/>
  <c r="J40" i="6"/>
  <c r="I40" i="6"/>
  <c r="J39" i="6"/>
  <c r="I39" i="6"/>
  <c r="J37" i="6"/>
  <c r="I37" i="6"/>
  <c r="J36" i="6"/>
  <c r="I36" i="6"/>
  <c r="J35" i="6"/>
  <c r="I35" i="6"/>
  <c r="J34" i="6"/>
  <c r="I34" i="6"/>
  <c r="J30" i="6"/>
  <c r="I30" i="6"/>
  <c r="K30" i="6" s="1"/>
  <c r="J29" i="6"/>
  <c r="I29" i="6"/>
  <c r="K29" i="6" s="1"/>
  <c r="J28" i="6"/>
  <c r="I28" i="6"/>
  <c r="K28" i="6" s="1"/>
  <c r="J27" i="6"/>
  <c r="I27" i="6"/>
  <c r="K27" i="6" s="1"/>
  <c r="J25" i="6"/>
  <c r="I25" i="6"/>
  <c r="J24" i="6"/>
  <c r="I24" i="6"/>
  <c r="K24" i="6" s="1"/>
  <c r="J23" i="6"/>
  <c r="I23" i="6"/>
  <c r="K23" i="6" s="1"/>
  <c r="J22" i="6"/>
  <c r="I22" i="6"/>
  <c r="K22" i="6" s="1"/>
  <c r="J18" i="6"/>
  <c r="I18" i="6"/>
  <c r="J17" i="6"/>
  <c r="I17" i="6"/>
  <c r="J16" i="6"/>
  <c r="I16" i="6"/>
  <c r="J15" i="6"/>
  <c r="I15" i="6"/>
  <c r="K436" i="6"/>
  <c r="J436" i="6"/>
  <c r="K16" i="6" l="1"/>
  <c r="L16" i="6"/>
  <c r="M16" i="6"/>
  <c r="N16" i="6" s="1"/>
  <c r="K18" i="6"/>
  <c r="L18" i="6"/>
  <c r="M18" i="6"/>
  <c r="K25" i="6"/>
  <c r="K31" i="6" s="1"/>
  <c r="L25" i="6"/>
  <c r="L31" i="6" s="1"/>
  <c r="M25" i="6"/>
  <c r="K37" i="6"/>
  <c r="L37" i="6"/>
  <c r="M37" i="6"/>
  <c r="N37" i="6" s="1"/>
  <c r="K42" i="6"/>
  <c r="M42" i="6"/>
  <c r="N42" i="6" s="1"/>
  <c r="L42" i="6"/>
  <c r="K59" i="6"/>
  <c r="M59" i="6"/>
  <c r="L59" i="6"/>
  <c r="K783" i="6"/>
  <c r="L783" i="6"/>
  <c r="M783" i="6"/>
  <c r="K785" i="6"/>
  <c r="L785" i="6"/>
  <c r="M785" i="6"/>
  <c r="N785" i="6" s="1"/>
  <c r="K787" i="6"/>
  <c r="L787" i="6"/>
  <c r="M787" i="6"/>
  <c r="N787" i="6" s="1"/>
  <c r="K789" i="6"/>
  <c r="L789" i="6"/>
  <c r="M789" i="6"/>
  <c r="K791" i="6"/>
  <c r="L791" i="6"/>
  <c r="M791" i="6"/>
  <c r="K793" i="6"/>
  <c r="L793" i="6"/>
  <c r="M793" i="6"/>
  <c r="N793" i="6" s="1"/>
  <c r="K795" i="6"/>
  <c r="L795" i="6"/>
  <c r="M795" i="6"/>
  <c r="N795" i="6" s="1"/>
  <c r="K799" i="6"/>
  <c r="L799" i="6"/>
  <c r="M799" i="6"/>
  <c r="K35" i="6"/>
  <c r="M35" i="6"/>
  <c r="N35" i="6" s="1"/>
  <c r="L35" i="6"/>
  <c r="K40" i="6"/>
  <c r="L40" i="6"/>
  <c r="M40" i="6"/>
  <c r="N40" i="6" s="1"/>
  <c r="K57" i="6"/>
  <c r="M57" i="6"/>
  <c r="N57" i="6" s="1"/>
  <c r="L57" i="6"/>
  <c r="K61" i="6"/>
  <c r="L61" i="6"/>
  <c r="M61" i="6"/>
  <c r="K15" i="6"/>
  <c r="L15" i="6"/>
  <c r="L19" i="6" s="1"/>
  <c r="M15" i="6"/>
  <c r="K17" i="6"/>
  <c r="L17" i="6"/>
  <c r="M17" i="6"/>
  <c r="N17" i="6" s="1"/>
  <c r="K34" i="6"/>
  <c r="L34" i="6"/>
  <c r="M34" i="6"/>
  <c r="K36" i="6"/>
  <c r="K53" i="6" s="1"/>
  <c r="L36" i="6"/>
  <c r="M36" i="6"/>
  <c r="K39" i="6"/>
  <c r="L39" i="6"/>
  <c r="M39" i="6"/>
  <c r="K41" i="6"/>
  <c r="L41" i="6"/>
  <c r="M41" i="6"/>
  <c r="N41" i="6" s="1"/>
  <c r="K56" i="6"/>
  <c r="L56" i="6"/>
  <c r="M56" i="6"/>
  <c r="K58" i="6"/>
  <c r="K63" i="6" s="1"/>
  <c r="M58" i="6"/>
  <c r="L58" i="6"/>
  <c r="K60" i="6"/>
  <c r="M60" i="6"/>
  <c r="N60" i="6" s="1"/>
  <c r="L60" i="6"/>
  <c r="K62" i="6"/>
  <c r="L62" i="6"/>
  <c r="M62" i="6"/>
  <c r="N62" i="6" s="1"/>
  <c r="K784" i="6"/>
  <c r="L784" i="6"/>
  <c r="M784" i="6"/>
  <c r="K786" i="6"/>
  <c r="L786" i="6"/>
  <c r="M786" i="6"/>
  <c r="K788" i="6"/>
  <c r="L788" i="6"/>
  <c r="M788" i="6"/>
  <c r="K790" i="6"/>
  <c r="L790" i="6"/>
  <c r="M790" i="6"/>
  <c r="N790" i="6" s="1"/>
  <c r="K792" i="6"/>
  <c r="L792" i="6"/>
  <c r="M792" i="6"/>
  <c r="K794" i="6"/>
  <c r="L794" i="6"/>
  <c r="M794" i="6"/>
  <c r="K798" i="6"/>
  <c r="L798" i="6"/>
  <c r="L800" i="6" s="1"/>
  <c r="M798" i="6"/>
  <c r="K502" i="6"/>
  <c r="K518" i="6"/>
  <c r="K547" i="6"/>
  <c r="K565" i="6"/>
  <c r="K574" i="6"/>
  <c r="K589" i="6"/>
  <c r="K605" i="6"/>
  <c r="K624" i="6"/>
  <c r="K73" i="6"/>
  <c r="J19" i="6"/>
  <c r="J31" i="6"/>
  <c r="J53" i="6"/>
  <c r="J107" i="6"/>
  <c r="J115" i="6"/>
  <c r="K698" i="6"/>
  <c r="K720" i="6"/>
  <c r="K102" i="6"/>
  <c r="K103" i="6" s="1"/>
  <c r="K107" i="6"/>
  <c r="K115" i="6"/>
  <c r="K120" i="6"/>
  <c r="K152" i="6"/>
  <c r="K167" i="6"/>
  <c r="K256" i="6"/>
  <c r="J317" i="6"/>
  <c r="J343" i="6"/>
  <c r="J370" i="6"/>
  <c r="J759" i="6"/>
  <c r="J775" i="6"/>
  <c r="J120" i="6"/>
  <c r="J152" i="6"/>
  <c r="J190" i="6"/>
  <c r="K343" i="6"/>
  <c r="K483" i="6"/>
  <c r="K533" i="6"/>
  <c r="K471" i="6"/>
  <c r="J256" i="6"/>
  <c r="K136" i="6"/>
  <c r="K146" i="6"/>
  <c r="K190" i="6"/>
  <c r="K312" i="6"/>
  <c r="J389" i="6"/>
  <c r="K464" i="6"/>
  <c r="K475" i="6"/>
  <c r="K488" i="6"/>
  <c r="K704" i="6"/>
  <c r="K775" i="6"/>
  <c r="K597" i="6"/>
  <c r="J63" i="6"/>
  <c r="K129" i="6"/>
  <c r="J146" i="6"/>
  <c r="J312" i="6"/>
  <c r="K317" i="6"/>
  <c r="K370" i="6"/>
  <c r="K389" i="6"/>
  <c r="J698" i="6"/>
  <c r="K759" i="6"/>
  <c r="J2339" i="5"/>
  <c r="I355" i="5"/>
  <c r="J2300" i="5"/>
  <c r="I2300" i="5"/>
  <c r="J2299" i="5"/>
  <c r="I2299" i="5"/>
  <c r="J2298" i="5"/>
  <c r="I2298" i="5"/>
  <c r="J2297" i="5"/>
  <c r="I2297" i="5"/>
  <c r="J2296" i="5"/>
  <c r="I2296" i="5"/>
  <c r="J2295" i="5"/>
  <c r="I2295" i="5"/>
  <c r="J2293" i="5"/>
  <c r="I2293" i="5"/>
  <c r="J2292" i="5"/>
  <c r="I2292" i="5"/>
  <c r="J2291" i="5"/>
  <c r="I2291" i="5"/>
  <c r="J2290" i="5"/>
  <c r="I2290" i="5"/>
  <c r="J2289" i="5"/>
  <c r="I2289" i="5"/>
  <c r="J2288" i="5"/>
  <c r="I2288" i="5"/>
  <c r="J2185" i="5"/>
  <c r="I2185" i="5"/>
  <c r="J2184" i="5"/>
  <c r="I2184" i="5"/>
  <c r="J2183" i="5"/>
  <c r="I2183" i="5"/>
  <c r="J2182" i="5"/>
  <c r="I2182" i="5"/>
  <c r="J2181" i="5"/>
  <c r="I2181" i="5"/>
  <c r="J2180" i="5"/>
  <c r="I2180" i="5"/>
  <c r="J2169" i="5"/>
  <c r="I2169" i="5"/>
  <c r="J2168" i="5"/>
  <c r="I2168" i="5"/>
  <c r="J2167" i="5"/>
  <c r="I2167" i="5"/>
  <c r="J2166" i="5"/>
  <c r="I2166" i="5"/>
  <c r="J2165" i="5"/>
  <c r="I2165" i="5"/>
  <c r="J2164" i="5"/>
  <c r="I2164" i="5"/>
  <c r="J2163" i="5"/>
  <c r="I2163" i="5"/>
  <c r="J2162" i="5"/>
  <c r="I2162" i="5"/>
  <c r="J2161" i="5"/>
  <c r="I2161" i="5"/>
  <c r="J2160" i="5"/>
  <c r="I2160" i="5"/>
  <c r="J2159" i="5"/>
  <c r="I2159" i="5"/>
  <c r="J2158" i="5"/>
  <c r="I2158" i="5"/>
  <c r="J2157" i="5"/>
  <c r="I2157" i="5"/>
  <c r="J2145" i="5"/>
  <c r="I2145" i="5"/>
  <c r="J2144" i="5"/>
  <c r="I2144" i="5"/>
  <c r="J2143" i="5"/>
  <c r="I2143" i="5"/>
  <c r="J2142" i="5"/>
  <c r="I2142" i="5"/>
  <c r="J2141" i="5"/>
  <c r="I2141" i="5"/>
  <c r="J2140" i="5"/>
  <c r="I2140" i="5"/>
  <c r="J2139" i="5"/>
  <c r="I2139" i="5"/>
  <c r="J2138" i="5"/>
  <c r="I2138" i="5"/>
  <c r="J2137" i="5"/>
  <c r="I2137" i="5"/>
  <c r="J2136" i="5"/>
  <c r="I2136" i="5"/>
  <c r="J2135" i="5"/>
  <c r="I2135" i="5"/>
  <c r="J2134" i="5"/>
  <c r="I2134" i="5"/>
  <c r="J2133" i="5"/>
  <c r="I2133" i="5"/>
  <c r="J2132" i="5"/>
  <c r="I2132" i="5"/>
  <c r="J2131" i="5"/>
  <c r="I2131" i="5"/>
  <c r="J2130" i="5"/>
  <c r="J2146" i="5" s="1"/>
  <c r="I2130" i="5"/>
  <c r="J2376" i="5"/>
  <c r="I2376" i="5"/>
  <c r="J2375" i="5"/>
  <c r="I2375" i="5"/>
  <c r="J2374" i="5"/>
  <c r="I2374" i="5"/>
  <c r="J2373" i="5"/>
  <c r="I2373" i="5"/>
  <c r="J2372" i="5"/>
  <c r="I2372" i="5"/>
  <c r="J2371" i="5"/>
  <c r="I2371" i="5"/>
  <c r="J2370" i="5"/>
  <c r="I2370" i="5"/>
  <c r="J2369" i="5"/>
  <c r="I2369" i="5"/>
  <c r="J2368" i="5"/>
  <c r="I2368" i="5"/>
  <c r="J2367" i="5"/>
  <c r="I2367" i="5"/>
  <c r="J2366" i="5"/>
  <c r="I2366" i="5"/>
  <c r="J2365" i="5"/>
  <c r="I2365" i="5"/>
  <c r="J2364" i="5"/>
  <c r="I2364" i="5"/>
  <c r="J2359" i="5"/>
  <c r="J2360" i="5" s="1"/>
  <c r="I2359" i="5"/>
  <c r="I2360" i="5" s="1"/>
  <c r="J2355" i="5"/>
  <c r="I2355" i="5"/>
  <c r="J2354" i="5"/>
  <c r="I2354" i="5"/>
  <c r="J2353" i="5"/>
  <c r="I2353" i="5"/>
  <c r="J2352" i="5"/>
  <c r="I2352" i="5"/>
  <c r="J2351" i="5"/>
  <c r="I2351" i="5"/>
  <c r="J2350" i="5"/>
  <c r="I2350" i="5"/>
  <c r="J2349" i="5"/>
  <c r="I2349" i="5"/>
  <c r="J2348" i="5"/>
  <c r="I2348" i="5"/>
  <c r="J2347" i="5"/>
  <c r="I2347" i="5"/>
  <c r="J2346" i="5"/>
  <c r="I2346" i="5"/>
  <c r="J2345" i="5"/>
  <c r="I2345" i="5"/>
  <c r="J2344" i="5"/>
  <c r="I2344" i="5"/>
  <c r="J2343" i="5"/>
  <c r="I2343" i="5"/>
  <c r="I2339" i="5"/>
  <c r="J2337" i="5"/>
  <c r="I2337" i="5"/>
  <c r="J2335" i="5"/>
  <c r="I2335" i="5"/>
  <c r="J2333" i="5"/>
  <c r="I2333" i="5"/>
  <c r="J2332" i="5"/>
  <c r="I2332" i="5"/>
  <c r="J2330" i="5"/>
  <c r="I2330" i="5"/>
  <c r="J2327" i="5"/>
  <c r="I2327" i="5"/>
  <c r="J2326" i="5"/>
  <c r="I2326" i="5"/>
  <c r="J2324" i="5"/>
  <c r="I2324" i="5"/>
  <c r="J2322" i="5"/>
  <c r="I2322" i="5"/>
  <c r="J2321" i="5"/>
  <c r="I2321" i="5"/>
  <c r="J2319" i="5"/>
  <c r="I2319" i="5"/>
  <c r="J2317" i="5"/>
  <c r="I2317" i="5"/>
  <c r="J2315" i="5"/>
  <c r="I2315" i="5"/>
  <c r="J2314" i="5"/>
  <c r="I2314" i="5"/>
  <c r="J2312" i="5"/>
  <c r="I2312" i="5"/>
  <c r="J2311" i="5"/>
  <c r="I2311" i="5"/>
  <c r="J2309" i="5"/>
  <c r="I2309" i="5"/>
  <c r="J2307" i="5"/>
  <c r="I2307" i="5"/>
  <c r="J2306" i="5"/>
  <c r="I2306" i="5"/>
  <c r="J2284" i="5"/>
  <c r="I2284" i="5"/>
  <c r="J2283" i="5"/>
  <c r="I2283" i="5"/>
  <c r="J2282" i="5"/>
  <c r="I2282" i="5"/>
  <c r="J2278" i="5"/>
  <c r="I2278" i="5"/>
  <c r="J2276" i="5"/>
  <c r="I2276" i="5"/>
  <c r="J2275" i="5"/>
  <c r="I2275" i="5"/>
  <c r="J2274" i="5"/>
  <c r="I2274" i="5"/>
  <c r="J2273" i="5"/>
  <c r="I2273" i="5"/>
  <c r="J2272" i="5"/>
  <c r="I2272" i="5"/>
  <c r="J2271" i="5"/>
  <c r="I2271" i="5"/>
  <c r="J2270" i="5"/>
  <c r="I2270" i="5"/>
  <c r="J2268" i="5"/>
  <c r="I2268" i="5"/>
  <c r="J2267" i="5"/>
  <c r="I2267" i="5"/>
  <c r="J2266" i="5"/>
  <c r="I2266" i="5"/>
  <c r="J2265" i="5"/>
  <c r="I2265" i="5"/>
  <c r="J2264" i="5"/>
  <c r="I2264" i="5"/>
  <c r="J2263" i="5"/>
  <c r="I2263" i="5"/>
  <c r="J2262" i="5"/>
  <c r="I2262" i="5"/>
  <c r="J2261" i="5"/>
  <c r="I2261" i="5"/>
  <c r="J2260" i="5"/>
  <c r="I2260" i="5"/>
  <c r="J2259" i="5"/>
  <c r="I2259" i="5"/>
  <c r="J2258" i="5"/>
  <c r="I2258" i="5"/>
  <c r="J2257" i="5"/>
  <c r="I2257" i="5"/>
  <c r="J2256" i="5"/>
  <c r="I2256" i="5"/>
  <c r="J2255" i="5"/>
  <c r="I2255" i="5"/>
  <c r="J2254" i="5"/>
  <c r="I2254" i="5"/>
  <c r="J2252" i="5"/>
  <c r="I2252" i="5"/>
  <c r="J2251" i="5"/>
  <c r="I2251" i="5"/>
  <c r="J2250" i="5"/>
  <c r="I2250" i="5"/>
  <c r="J2249" i="5"/>
  <c r="I2249" i="5"/>
  <c r="J2248" i="5"/>
  <c r="I2248" i="5"/>
  <c r="J2247" i="5"/>
  <c r="I2247" i="5"/>
  <c r="J2245" i="5"/>
  <c r="I2245" i="5"/>
  <c r="J2243" i="5"/>
  <c r="I2243" i="5"/>
  <c r="J2241" i="5"/>
  <c r="I2241" i="5"/>
  <c r="J2239" i="5"/>
  <c r="I2239" i="5"/>
  <c r="J2238" i="5"/>
  <c r="I2238" i="5"/>
  <c r="J2235" i="5"/>
  <c r="I2235" i="5"/>
  <c r="J2234" i="5"/>
  <c r="I2234" i="5"/>
  <c r="J2233" i="5"/>
  <c r="I2233" i="5"/>
  <c r="J2232" i="5"/>
  <c r="I2232" i="5"/>
  <c r="J2231" i="5"/>
  <c r="I2231" i="5"/>
  <c r="J2230" i="5"/>
  <c r="I2230" i="5"/>
  <c r="J2229" i="5"/>
  <c r="I2229" i="5"/>
  <c r="J2228" i="5"/>
  <c r="I2228" i="5"/>
  <c r="J2226" i="5"/>
  <c r="I2226" i="5"/>
  <c r="J2225" i="5"/>
  <c r="I2225" i="5"/>
  <c r="J2223" i="5"/>
  <c r="I2223" i="5"/>
  <c r="J2222" i="5"/>
  <c r="I2222" i="5"/>
  <c r="J2221" i="5"/>
  <c r="I2221" i="5"/>
  <c r="J2220" i="5"/>
  <c r="I2220" i="5"/>
  <c r="J2218" i="5"/>
  <c r="I2218" i="5"/>
  <c r="J2217" i="5"/>
  <c r="I2217" i="5"/>
  <c r="J2215" i="5"/>
  <c r="I2215" i="5"/>
  <c r="J2214" i="5"/>
  <c r="I2214" i="5"/>
  <c r="J2213" i="5"/>
  <c r="I2213" i="5"/>
  <c r="J2212" i="5"/>
  <c r="I2212" i="5"/>
  <c r="J2211" i="5"/>
  <c r="I2211" i="5"/>
  <c r="J2210" i="5"/>
  <c r="I2210" i="5"/>
  <c r="J2209" i="5"/>
  <c r="I2209" i="5"/>
  <c r="J2204" i="5"/>
  <c r="I2204" i="5"/>
  <c r="J2202" i="5"/>
  <c r="I2202" i="5"/>
  <c r="J2201" i="5"/>
  <c r="I2201" i="5"/>
  <c r="J2200" i="5"/>
  <c r="I2200" i="5"/>
  <c r="J2198" i="5"/>
  <c r="I2198" i="5"/>
  <c r="J2196" i="5"/>
  <c r="I2196" i="5"/>
  <c r="J2195" i="5"/>
  <c r="I2195" i="5"/>
  <c r="J2194" i="5"/>
  <c r="I2194" i="5"/>
  <c r="J2193" i="5"/>
  <c r="I2193" i="5"/>
  <c r="J2191" i="5"/>
  <c r="I2191" i="5"/>
  <c r="J2190" i="5"/>
  <c r="I2190" i="5"/>
  <c r="J2189" i="5"/>
  <c r="I2189" i="5"/>
  <c r="J2177" i="5"/>
  <c r="I2177" i="5"/>
  <c r="J2176" i="5"/>
  <c r="I2176" i="5"/>
  <c r="J2175" i="5"/>
  <c r="I2175" i="5"/>
  <c r="J2174" i="5"/>
  <c r="I2174" i="5"/>
  <c r="J2173" i="5"/>
  <c r="I2173" i="5"/>
  <c r="J2172" i="5"/>
  <c r="I2172" i="5"/>
  <c r="J2154" i="5"/>
  <c r="I2154" i="5"/>
  <c r="J2153" i="5"/>
  <c r="I2153" i="5"/>
  <c r="J2152" i="5"/>
  <c r="I2152" i="5"/>
  <c r="J2151" i="5"/>
  <c r="I2151" i="5"/>
  <c r="J2150" i="5"/>
  <c r="I2150" i="5"/>
  <c r="J2149" i="5"/>
  <c r="I2149" i="5"/>
  <c r="J2148" i="5"/>
  <c r="I2148" i="5"/>
  <c r="J2127" i="5"/>
  <c r="I2127" i="5"/>
  <c r="J2126" i="5"/>
  <c r="I2126" i="5"/>
  <c r="J2125" i="5"/>
  <c r="I2125" i="5"/>
  <c r="J2124" i="5"/>
  <c r="I2124" i="5"/>
  <c r="J2123" i="5"/>
  <c r="I2123" i="5"/>
  <c r="J2122" i="5"/>
  <c r="I2122" i="5"/>
  <c r="J2121" i="5"/>
  <c r="I2121" i="5"/>
  <c r="J2120" i="5"/>
  <c r="I2120" i="5"/>
  <c r="J2119" i="5"/>
  <c r="I2119" i="5"/>
  <c r="J2118" i="5"/>
  <c r="I2118" i="5"/>
  <c r="J2117" i="5"/>
  <c r="I2117" i="5"/>
  <c r="J2116" i="5"/>
  <c r="I2116" i="5"/>
  <c r="J2113" i="5"/>
  <c r="I2113" i="5"/>
  <c r="J2112" i="5"/>
  <c r="I2112" i="5"/>
  <c r="J2111" i="5"/>
  <c r="I2111" i="5"/>
  <c r="J2110" i="5"/>
  <c r="I2110" i="5"/>
  <c r="J2109" i="5"/>
  <c r="I2109" i="5"/>
  <c r="J2108" i="5"/>
  <c r="I2108" i="5"/>
  <c r="J2107" i="5"/>
  <c r="I2107" i="5"/>
  <c r="J2106" i="5"/>
  <c r="I2106" i="5"/>
  <c r="J2105" i="5"/>
  <c r="I2105" i="5"/>
  <c r="J2104" i="5"/>
  <c r="I2104" i="5"/>
  <c r="J2103" i="5"/>
  <c r="I2103" i="5"/>
  <c r="J2102" i="5"/>
  <c r="I2102" i="5"/>
  <c r="J2101" i="5"/>
  <c r="I2101" i="5"/>
  <c r="J2098" i="5"/>
  <c r="I2098" i="5"/>
  <c r="J2097" i="5"/>
  <c r="I2097" i="5"/>
  <c r="J2095" i="5"/>
  <c r="I2095" i="5"/>
  <c r="J2094" i="5"/>
  <c r="I2094" i="5"/>
  <c r="J2093" i="5"/>
  <c r="I2093" i="5"/>
  <c r="J2092" i="5"/>
  <c r="I2092" i="5"/>
  <c r="J2091" i="5"/>
  <c r="I2091" i="5"/>
  <c r="J2090" i="5"/>
  <c r="I2090" i="5"/>
  <c r="J2088" i="5"/>
  <c r="I2088" i="5"/>
  <c r="J2087" i="5"/>
  <c r="I2087" i="5"/>
  <c r="J2086" i="5"/>
  <c r="I2086" i="5"/>
  <c r="J2082" i="5"/>
  <c r="I2082" i="5"/>
  <c r="J2081" i="5"/>
  <c r="I2081" i="5"/>
  <c r="J2080" i="5"/>
  <c r="I2080" i="5"/>
  <c r="J2079" i="5"/>
  <c r="I2079" i="5"/>
  <c r="J2078" i="5"/>
  <c r="I2078" i="5"/>
  <c r="J2077" i="5"/>
  <c r="I2077" i="5"/>
  <c r="J2076" i="5"/>
  <c r="I2076" i="5"/>
  <c r="J2075" i="5"/>
  <c r="I2075" i="5"/>
  <c r="J2074" i="5"/>
  <c r="I2074" i="5"/>
  <c r="J2073" i="5"/>
  <c r="I2073" i="5"/>
  <c r="J2072" i="5"/>
  <c r="I2072" i="5"/>
  <c r="J2071" i="5"/>
  <c r="I2071" i="5"/>
  <c r="J2068" i="5"/>
  <c r="I2068" i="5"/>
  <c r="J2067" i="5"/>
  <c r="I2067" i="5"/>
  <c r="J2066" i="5"/>
  <c r="I2066" i="5"/>
  <c r="J2063" i="5"/>
  <c r="I2063" i="5"/>
  <c r="J2062" i="5"/>
  <c r="I2062" i="5"/>
  <c r="J2061" i="5"/>
  <c r="I2061" i="5"/>
  <c r="J2060" i="5"/>
  <c r="I2060" i="5"/>
  <c r="J2059" i="5"/>
  <c r="I2059" i="5"/>
  <c r="J2058" i="5"/>
  <c r="I2058" i="5"/>
  <c r="J2055" i="5"/>
  <c r="I2055" i="5"/>
  <c r="J2054" i="5"/>
  <c r="I2054" i="5"/>
  <c r="J2051" i="5"/>
  <c r="I2051" i="5"/>
  <c r="J2050" i="5"/>
  <c r="I2050" i="5"/>
  <c r="J2049" i="5"/>
  <c r="I2049" i="5"/>
  <c r="J2044" i="5"/>
  <c r="I2044" i="5"/>
  <c r="J2043" i="5"/>
  <c r="I2043" i="5"/>
  <c r="J2041" i="5"/>
  <c r="I2041" i="5"/>
  <c r="J2040" i="5"/>
  <c r="I2040" i="5"/>
  <c r="J2039" i="5"/>
  <c r="I2039" i="5"/>
  <c r="J2037" i="5"/>
  <c r="I2037" i="5"/>
  <c r="J2036" i="5"/>
  <c r="I2036" i="5"/>
  <c r="J2034" i="5"/>
  <c r="I2034" i="5"/>
  <c r="J2033" i="5"/>
  <c r="I2033" i="5"/>
  <c r="J2032" i="5"/>
  <c r="I2032" i="5"/>
  <c r="J2030" i="5"/>
  <c r="I2030" i="5"/>
  <c r="J2029" i="5"/>
  <c r="I2029" i="5"/>
  <c r="J2028" i="5"/>
  <c r="I2028" i="5"/>
  <c r="J2027" i="5"/>
  <c r="I2027" i="5"/>
  <c r="J2026" i="5"/>
  <c r="I2026" i="5"/>
  <c r="J2025" i="5"/>
  <c r="I2025" i="5"/>
  <c r="J2024" i="5"/>
  <c r="I2024" i="5"/>
  <c r="J2023" i="5"/>
  <c r="I2023" i="5"/>
  <c r="J2022" i="5"/>
  <c r="I2022" i="5"/>
  <c r="J2021" i="5"/>
  <c r="I2021" i="5"/>
  <c r="J2020" i="5"/>
  <c r="I2020" i="5"/>
  <c r="J2018" i="5"/>
  <c r="I2018" i="5"/>
  <c r="J2016" i="5"/>
  <c r="I2016" i="5"/>
  <c r="J2015" i="5"/>
  <c r="I2015" i="5"/>
  <c r="J2012" i="5"/>
  <c r="I2012" i="5"/>
  <c r="J2011" i="5"/>
  <c r="I2011" i="5"/>
  <c r="J2010" i="5"/>
  <c r="I2010" i="5"/>
  <c r="J2009" i="5"/>
  <c r="I2009" i="5"/>
  <c r="J2008" i="5"/>
  <c r="I2008" i="5"/>
  <c r="J2006" i="5"/>
  <c r="I2006" i="5"/>
  <c r="J2004" i="5"/>
  <c r="I2004" i="5"/>
  <c r="J2002" i="5"/>
  <c r="I2002" i="5"/>
  <c r="J2000" i="5"/>
  <c r="I2000" i="5"/>
  <c r="J1999" i="5"/>
  <c r="I1999" i="5"/>
  <c r="J1997" i="5"/>
  <c r="I1997" i="5"/>
  <c r="J1996" i="5"/>
  <c r="I1996" i="5"/>
  <c r="J1995" i="5"/>
  <c r="I1995" i="5"/>
  <c r="J1994" i="5"/>
  <c r="I1994" i="5"/>
  <c r="J1993" i="5"/>
  <c r="I1993" i="5"/>
  <c r="J1991" i="5"/>
  <c r="I1991" i="5"/>
  <c r="J1990" i="5"/>
  <c r="I1990" i="5"/>
  <c r="J1988" i="5"/>
  <c r="I1988" i="5"/>
  <c r="J1987" i="5"/>
  <c r="I1987" i="5"/>
  <c r="J1986" i="5"/>
  <c r="I1986" i="5"/>
  <c r="J1985" i="5"/>
  <c r="I1985" i="5"/>
  <c r="J1984" i="5"/>
  <c r="I1984" i="5"/>
  <c r="J1983" i="5"/>
  <c r="I1983" i="5"/>
  <c r="J1982" i="5"/>
  <c r="I1982" i="5"/>
  <c r="J1981" i="5"/>
  <c r="I1981" i="5"/>
  <c r="I1979" i="5"/>
  <c r="J1979" i="5"/>
  <c r="J1977" i="5"/>
  <c r="I1977" i="5"/>
  <c r="J1976" i="5"/>
  <c r="I1976" i="5"/>
  <c r="J1975" i="5"/>
  <c r="I1975" i="5"/>
  <c r="J1974" i="5"/>
  <c r="I1974" i="5"/>
  <c r="J1973" i="5"/>
  <c r="I1973" i="5"/>
  <c r="J1969" i="5"/>
  <c r="I1969" i="5"/>
  <c r="J1968" i="5"/>
  <c r="I1968" i="5"/>
  <c r="J1966" i="5"/>
  <c r="I1966" i="5"/>
  <c r="J1964" i="5"/>
  <c r="I1964" i="5"/>
  <c r="J1963" i="5"/>
  <c r="I1963" i="5"/>
  <c r="J1961" i="5"/>
  <c r="I1961" i="5"/>
  <c r="J1960" i="5"/>
  <c r="I1960" i="5"/>
  <c r="J1959" i="5"/>
  <c r="I1959" i="5"/>
  <c r="J1958" i="5"/>
  <c r="I1958" i="5"/>
  <c r="J1957" i="5"/>
  <c r="I1957" i="5"/>
  <c r="J1955" i="5"/>
  <c r="I1955" i="5"/>
  <c r="J1954" i="5"/>
  <c r="I1954" i="5"/>
  <c r="J1950" i="5"/>
  <c r="I1950" i="5"/>
  <c r="J1949" i="5"/>
  <c r="I1949" i="5"/>
  <c r="J1947" i="5"/>
  <c r="I1947" i="5"/>
  <c r="J1946" i="5"/>
  <c r="I1946" i="5"/>
  <c r="J1945" i="5"/>
  <c r="I1945" i="5"/>
  <c r="J1944" i="5"/>
  <c r="I1944" i="5"/>
  <c r="J1943" i="5"/>
  <c r="I1943" i="5"/>
  <c r="J1942" i="5"/>
  <c r="I1942" i="5"/>
  <c r="J1941" i="5"/>
  <c r="I1941" i="5"/>
  <c r="J1939" i="5"/>
  <c r="I1939" i="5"/>
  <c r="J1938" i="5"/>
  <c r="I1938" i="5"/>
  <c r="J1936" i="5"/>
  <c r="I1936" i="5"/>
  <c r="J1935" i="5"/>
  <c r="I1935" i="5"/>
  <c r="J1933" i="5"/>
  <c r="I1933" i="5"/>
  <c r="J1932" i="5"/>
  <c r="I1932" i="5"/>
  <c r="J1931" i="5"/>
  <c r="I1931" i="5"/>
  <c r="J1930" i="5"/>
  <c r="I1930" i="5"/>
  <c r="J1929" i="5"/>
  <c r="I1929" i="5"/>
  <c r="J1928" i="5"/>
  <c r="I1928" i="5"/>
  <c r="J1923" i="5"/>
  <c r="I1923" i="5"/>
  <c r="J1921" i="5"/>
  <c r="I1921" i="5"/>
  <c r="J1920" i="5"/>
  <c r="I1920" i="5"/>
  <c r="J1918" i="5"/>
  <c r="I1918" i="5"/>
  <c r="J1917" i="5"/>
  <c r="I1917" i="5"/>
  <c r="J1916" i="5"/>
  <c r="I1916" i="5"/>
  <c r="J1914" i="5"/>
  <c r="I1914" i="5"/>
  <c r="J1913" i="5"/>
  <c r="I1913" i="5"/>
  <c r="J1911" i="5"/>
  <c r="I1911" i="5"/>
  <c r="J1910" i="5"/>
  <c r="I1910" i="5"/>
  <c r="J1909" i="5"/>
  <c r="I1909" i="5"/>
  <c r="J1908" i="5"/>
  <c r="I1908" i="5"/>
  <c r="J1906" i="5"/>
  <c r="I1906" i="5"/>
  <c r="J1904" i="5"/>
  <c r="I1904" i="5"/>
  <c r="J1903" i="5"/>
  <c r="I1903" i="5"/>
  <c r="J1902" i="5"/>
  <c r="I1902" i="5"/>
  <c r="J1901" i="5"/>
  <c r="I1901" i="5"/>
  <c r="J1897" i="5"/>
  <c r="I1897" i="5"/>
  <c r="J1896" i="5"/>
  <c r="I1896" i="5"/>
  <c r="J1895" i="5"/>
  <c r="I1895" i="5"/>
  <c r="J1892" i="5"/>
  <c r="I1892" i="5"/>
  <c r="J1891" i="5"/>
  <c r="I1891" i="5"/>
  <c r="J1890" i="5"/>
  <c r="I1890" i="5"/>
  <c r="J1889" i="5"/>
  <c r="I1889" i="5"/>
  <c r="J1888" i="5"/>
  <c r="I1888" i="5"/>
  <c r="J1887" i="5"/>
  <c r="I1887" i="5"/>
  <c r="J1886" i="5"/>
  <c r="I1886" i="5"/>
  <c r="J1885" i="5"/>
  <c r="I1885" i="5"/>
  <c r="J1884" i="5"/>
  <c r="I1884" i="5"/>
  <c r="J1883" i="5"/>
  <c r="I1883" i="5"/>
  <c r="J1882" i="5"/>
  <c r="I1882" i="5"/>
  <c r="J1881" i="5"/>
  <c r="I1881" i="5"/>
  <c r="J1880" i="5"/>
  <c r="I1880" i="5"/>
  <c r="J1879" i="5"/>
  <c r="I1879" i="5"/>
  <c r="J1878" i="5"/>
  <c r="I1878" i="5"/>
  <c r="J1877" i="5"/>
  <c r="I1877" i="5"/>
  <c r="J1876" i="5"/>
  <c r="I1876" i="5"/>
  <c r="J1875" i="5"/>
  <c r="I1875" i="5"/>
  <c r="J1874" i="5"/>
  <c r="I1874" i="5"/>
  <c r="J1873" i="5"/>
  <c r="I1873" i="5"/>
  <c r="J1872" i="5"/>
  <c r="I1872" i="5"/>
  <c r="J1871" i="5"/>
  <c r="I1871" i="5"/>
  <c r="J1870" i="5"/>
  <c r="I1870" i="5"/>
  <c r="J1869" i="5"/>
  <c r="I1869" i="5"/>
  <c r="J1868" i="5"/>
  <c r="I1868" i="5"/>
  <c r="J1867" i="5"/>
  <c r="I1867" i="5"/>
  <c r="J1866" i="5"/>
  <c r="I1866" i="5"/>
  <c r="J1865" i="5"/>
  <c r="I1865" i="5"/>
  <c r="J1864" i="5"/>
  <c r="I1864" i="5"/>
  <c r="J1863" i="5"/>
  <c r="I1863" i="5"/>
  <c r="J1862" i="5"/>
  <c r="I1862" i="5"/>
  <c r="J1861" i="5"/>
  <c r="I1861" i="5"/>
  <c r="J1860" i="5"/>
  <c r="I1860" i="5"/>
  <c r="J1859" i="5"/>
  <c r="I1859" i="5"/>
  <c r="J1858" i="5"/>
  <c r="I1858" i="5"/>
  <c r="J1857" i="5"/>
  <c r="I1857" i="5"/>
  <c r="J1856" i="5"/>
  <c r="I1856" i="5"/>
  <c r="J1855" i="5"/>
  <c r="I1855" i="5"/>
  <c r="J1854" i="5"/>
  <c r="I1854" i="5"/>
  <c r="J1853" i="5"/>
  <c r="I1853" i="5"/>
  <c r="J1852" i="5"/>
  <c r="I1852" i="5"/>
  <c r="J1851" i="5"/>
  <c r="I1851" i="5"/>
  <c r="J1850" i="5"/>
  <c r="I1850" i="5"/>
  <c r="J1849" i="5"/>
  <c r="I1849" i="5"/>
  <c r="J1848" i="5"/>
  <c r="I1848" i="5"/>
  <c r="J1847" i="5"/>
  <c r="I1847" i="5"/>
  <c r="J1846" i="5"/>
  <c r="I1846" i="5"/>
  <c r="J1845" i="5"/>
  <c r="I1845" i="5"/>
  <c r="J1844" i="5"/>
  <c r="I1844" i="5"/>
  <c r="J1843" i="5"/>
  <c r="I1843" i="5"/>
  <c r="J1842" i="5"/>
  <c r="I1842" i="5"/>
  <c r="J1841" i="5"/>
  <c r="I1841" i="5"/>
  <c r="J1840" i="5"/>
  <c r="I1840" i="5"/>
  <c r="J1839" i="5"/>
  <c r="I1839" i="5"/>
  <c r="J1836" i="5"/>
  <c r="I1836" i="5"/>
  <c r="J1835" i="5"/>
  <c r="I1835" i="5"/>
  <c r="J1834" i="5"/>
  <c r="I1834" i="5"/>
  <c r="J1832" i="5"/>
  <c r="I1832" i="5"/>
  <c r="J1831" i="5"/>
  <c r="I1831" i="5"/>
  <c r="J1830" i="5"/>
  <c r="I1830" i="5"/>
  <c r="J1829" i="5"/>
  <c r="I1829" i="5"/>
  <c r="J1827" i="5"/>
  <c r="I1827" i="5"/>
  <c r="J1826" i="5"/>
  <c r="I1826" i="5"/>
  <c r="J1825" i="5"/>
  <c r="I1825" i="5"/>
  <c r="J1824" i="5"/>
  <c r="I1824" i="5"/>
  <c r="J1823" i="5"/>
  <c r="I1823" i="5"/>
  <c r="J1822" i="5"/>
  <c r="I1822" i="5"/>
  <c r="J1821" i="5"/>
  <c r="I1821" i="5"/>
  <c r="J1820" i="5"/>
  <c r="I1820" i="5"/>
  <c r="J1819" i="5"/>
  <c r="I1819" i="5"/>
  <c r="J1818" i="5"/>
  <c r="I1818" i="5"/>
  <c r="J1817" i="5"/>
  <c r="I1817" i="5"/>
  <c r="J1815" i="5"/>
  <c r="I1815" i="5"/>
  <c r="J1814" i="5"/>
  <c r="I1814" i="5"/>
  <c r="J1813" i="5"/>
  <c r="I1813" i="5"/>
  <c r="J1812" i="5"/>
  <c r="I1812" i="5"/>
  <c r="J1811" i="5"/>
  <c r="I1811" i="5"/>
  <c r="J1810" i="5"/>
  <c r="I1810" i="5"/>
  <c r="J1808" i="5"/>
  <c r="I1808" i="5"/>
  <c r="J1807" i="5"/>
  <c r="I1807" i="5"/>
  <c r="J1806" i="5"/>
  <c r="I1806" i="5"/>
  <c r="J1805" i="5"/>
  <c r="I1805" i="5"/>
  <c r="J1804" i="5"/>
  <c r="I1804" i="5"/>
  <c r="J1803" i="5"/>
  <c r="I1803" i="5"/>
  <c r="J1802" i="5"/>
  <c r="I1802" i="5"/>
  <c r="J1801" i="5"/>
  <c r="I1801" i="5"/>
  <c r="J1800" i="5"/>
  <c r="I1800" i="5"/>
  <c r="J1799" i="5"/>
  <c r="I1799" i="5"/>
  <c r="J1798" i="5"/>
  <c r="I1798" i="5"/>
  <c r="J1796" i="5"/>
  <c r="I1796" i="5"/>
  <c r="J1795" i="5"/>
  <c r="I1795" i="5"/>
  <c r="J1794" i="5"/>
  <c r="I1794" i="5"/>
  <c r="J1793" i="5"/>
  <c r="I1793" i="5"/>
  <c r="J1792" i="5"/>
  <c r="I1792" i="5"/>
  <c r="J1791" i="5"/>
  <c r="I1791" i="5"/>
  <c r="J1790" i="5"/>
  <c r="I1790" i="5"/>
  <c r="J1788" i="5"/>
  <c r="I1788" i="5"/>
  <c r="J1787" i="5"/>
  <c r="I1787" i="5"/>
  <c r="J1786" i="5"/>
  <c r="I1786" i="5"/>
  <c r="J1785" i="5"/>
  <c r="I1785" i="5"/>
  <c r="J1784" i="5"/>
  <c r="I1784" i="5"/>
  <c r="J1783" i="5"/>
  <c r="I1783" i="5"/>
  <c r="J1782" i="5"/>
  <c r="I1782" i="5"/>
  <c r="J1781" i="5"/>
  <c r="I1781" i="5"/>
  <c r="J1779" i="5"/>
  <c r="I1779" i="5"/>
  <c r="J1778" i="5"/>
  <c r="I1778" i="5"/>
  <c r="J1777" i="5"/>
  <c r="I1777" i="5"/>
  <c r="J1776" i="5"/>
  <c r="I1776" i="5"/>
  <c r="J1775" i="5"/>
  <c r="I1775" i="5"/>
  <c r="J1770" i="5"/>
  <c r="I1770" i="5"/>
  <c r="J1769" i="5"/>
  <c r="I1769" i="5"/>
  <c r="J1768" i="5"/>
  <c r="I1768" i="5"/>
  <c r="J1767" i="5"/>
  <c r="I1767" i="5"/>
  <c r="J1766" i="5"/>
  <c r="I1766" i="5"/>
  <c r="J1765" i="5"/>
  <c r="I1765" i="5"/>
  <c r="J1764" i="5"/>
  <c r="I1764" i="5"/>
  <c r="J1763" i="5"/>
  <c r="I1763" i="5"/>
  <c r="J1762" i="5"/>
  <c r="I1762" i="5"/>
  <c r="J1761" i="5"/>
  <c r="I1761" i="5"/>
  <c r="J1760" i="5"/>
  <c r="I1760" i="5"/>
  <c r="J1759" i="5"/>
  <c r="I1759" i="5"/>
  <c r="J1758" i="5"/>
  <c r="I1758" i="5"/>
  <c r="J1757" i="5"/>
  <c r="I1757" i="5"/>
  <c r="J1756" i="5"/>
  <c r="I1756" i="5"/>
  <c r="J1755" i="5"/>
  <c r="I1755" i="5"/>
  <c r="J1754" i="5"/>
  <c r="I1754" i="5"/>
  <c r="J1753" i="5"/>
  <c r="I1753" i="5"/>
  <c r="J1752" i="5"/>
  <c r="I1752" i="5"/>
  <c r="J1751" i="5"/>
  <c r="I1751" i="5"/>
  <c r="J1750" i="5"/>
  <c r="I1750" i="5"/>
  <c r="J1747" i="5"/>
  <c r="I1747" i="5"/>
  <c r="J1746" i="5"/>
  <c r="I1746" i="5"/>
  <c r="J1745" i="5"/>
  <c r="I1745" i="5"/>
  <c r="J1743" i="5"/>
  <c r="I1743" i="5"/>
  <c r="J1742" i="5"/>
  <c r="I1742" i="5"/>
  <c r="J1740" i="5"/>
  <c r="I1740" i="5"/>
  <c r="J1738" i="5"/>
  <c r="I1738" i="5"/>
  <c r="J1737" i="5"/>
  <c r="I1737" i="5"/>
  <c r="J1736" i="5"/>
  <c r="I1736" i="5"/>
  <c r="J1732" i="5"/>
  <c r="I1732" i="5"/>
  <c r="J1731" i="5"/>
  <c r="I1731" i="5"/>
  <c r="J1730" i="5"/>
  <c r="I1730" i="5"/>
  <c r="J1729" i="5"/>
  <c r="I1729" i="5"/>
  <c r="J1726" i="5"/>
  <c r="I1726" i="5"/>
  <c r="J1725" i="5"/>
  <c r="I1725" i="5"/>
  <c r="J1724" i="5"/>
  <c r="I1724" i="5"/>
  <c r="J1723" i="5"/>
  <c r="I1723" i="5"/>
  <c r="J1722" i="5"/>
  <c r="I1722" i="5"/>
  <c r="J1721" i="5"/>
  <c r="I1721" i="5"/>
  <c r="J1720" i="5"/>
  <c r="I1720" i="5"/>
  <c r="J1716" i="5"/>
  <c r="I1716" i="5"/>
  <c r="J1715" i="5"/>
  <c r="I1715" i="5"/>
  <c r="J1714" i="5"/>
  <c r="I1714" i="5"/>
  <c r="J1713" i="5"/>
  <c r="I1713" i="5"/>
  <c r="J1709" i="5"/>
  <c r="I1709" i="5"/>
  <c r="J1707" i="5"/>
  <c r="I1707" i="5"/>
  <c r="J1706" i="5"/>
  <c r="I1706" i="5"/>
  <c r="J1705" i="5"/>
  <c r="I1705" i="5"/>
  <c r="J1700" i="5"/>
  <c r="I1700" i="5"/>
  <c r="J1699" i="5"/>
  <c r="I1699" i="5"/>
  <c r="J1698" i="5"/>
  <c r="I1698" i="5"/>
  <c r="J1697" i="5"/>
  <c r="I1697" i="5"/>
  <c r="J1694" i="5"/>
  <c r="I1694" i="5"/>
  <c r="J1693" i="5"/>
  <c r="I1693" i="5"/>
  <c r="J1692" i="5"/>
  <c r="I1692" i="5"/>
  <c r="J1691" i="5"/>
  <c r="I1691" i="5"/>
  <c r="J1690" i="5"/>
  <c r="I1690" i="5"/>
  <c r="J1689" i="5"/>
  <c r="I1689" i="5"/>
  <c r="J1686" i="5"/>
  <c r="I1686" i="5"/>
  <c r="J1685" i="5"/>
  <c r="I1685" i="5"/>
  <c r="J1681" i="5"/>
  <c r="I1681" i="5"/>
  <c r="J1680" i="5"/>
  <c r="I1680" i="5"/>
  <c r="J1679" i="5"/>
  <c r="I1679" i="5"/>
  <c r="J1677" i="5"/>
  <c r="I1677" i="5"/>
  <c r="J1676" i="5"/>
  <c r="I1676" i="5"/>
  <c r="J1675" i="5"/>
  <c r="I1675" i="5"/>
  <c r="J1674" i="5"/>
  <c r="I1674" i="5"/>
  <c r="J1673" i="5"/>
  <c r="I1673" i="5"/>
  <c r="J1672" i="5"/>
  <c r="I1672" i="5"/>
  <c r="J1671" i="5"/>
  <c r="I1671" i="5"/>
  <c r="J1670" i="5"/>
  <c r="I1670" i="5"/>
  <c r="J1669" i="5"/>
  <c r="I1669" i="5"/>
  <c r="J1668" i="5"/>
  <c r="I1668" i="5"/>
  <c r="J1667" i="5"/>
  <c r="I1667" i="5"/>
  <c r="J1666" i="5"/>
  <c r="I1666" i="5"/>
  <c r="J1665" i="5"/>
  <c r="I1665" i="5"/>
  <c r="J1664" i="5"/>
  <c r="I1664" i="5"/>
  <c r="J1663" i="5"/>
  <c r="I1663" i="5"/>
  <c r="J1662" i="5"/>
  <c r="I1662" i="5"/>
  <c r="J1661" i="5"/>
  <c r="I1661" i="5"/>
  <c r="J1660" i="5"/>
  <c r="I1660" i="5"/>
  <c r="J1659" i="5"/>
  <c r="I1659" i="5"/>
  <c r="J1658" i="5"/>
  <c r="I1658" i="5"/>
  <c r="J1656" i="5"/>
  <c r="I1656" i="5"/>
  <c r="J1652" i="5"/>
  <c r="I1652" i="5"/>
  <c r="J1651" i="5"/>
  <c r="I1651" i="5"/>
  <c r="J1650" i="5"/>
  <c r="I1650" i="5"/>
  <c r="J1649" i="5"/>
  <c r="I1649" i="5"/>
  <c r="J1648" i="5"/>
  <c r="I1648" i="5"/>
  <c r="J1647" i="5"/>
  <c r="I1647" i="5"/>
  <c r="J1646" i="5"/>
  <c r="I1646" i="5"/>
  <c r="J1642" i="5"/>
  <c r="I1642" i="5"/>
  <c r="J1641" i="5"/>
  <c r="I1641" i="5"/>
  <c r="J1640" i="5"/>
  <c r="I1640" i="5"/>
  <c r="J1639" i="5"/>
  <c r="I1639" i="5"/>
  <c r="J1638" i="5"/>
  <c r="I1638" i="5"/>
  <c r="J1637" i="5"/>
  <c r="I1637" i="5"/>
  <c r="J1636" i="5"/>
  <c r="I1636" i="5"/>
  <c r="J1635" i="5"/>
  <c r="I1635" i="5"/>
  <c r="J1631" i="5"/>
  <c r="I1631" i="5"/>
  <c r="J1630" i="5"/>
  <c r="I1630" i="5"/>
  <c r="J1629" i="5"/>
  <c r="I1629" i="5"/>
  <c r="J1628" i="5"/>
  <c r="I1628" i="5"/>
  <c r="J1626" i="5"/>
  <c r="I1626" i="5"/>
  <c r="J1625" i="5"/>
  <c r="I1625" i="5"/>
  <c r="J1624" i="5"/>
  <c r="I1624" i="5"/>
  <c r="J1623" i="5"/>
  <c r="I1623" i="5"/>
  <c r="J1621" i="5"/>
  <c r="I1621" i="5"/>
  <c r="J1620" i="5"/>
  <c r="I1620" i="5"/>
  <c r="J1619" i="5"/>
  <c r="I1619" i="5"/>
  <c r="J1618" i="5"/>
  <c r="I1618" i="5"/>
  <c r="J1616" i="5"/>
  <c r="I1616" i="5"/>
  <c r="J1615" i="5"/>
  <c r="I1615" i="5"/>
  <c r="J1614" i="5"/>
  <c r="I1614" i="5"/>
  <c r="J1613" i="5"/>
  <c r="I1613" i="5"/>
  <c r="J1609" i="5"/>
  <c r="I1609" i="5"/>
  <c r="J1608" i="5"/>
  <c r="I1608" i="5"/>
  <c r="J1607" i="5"/>
  <c r="I1607" i="5"/>
  <c r="J1606" i="5"/>
  <c r="I1606" i="5"/>
  <c r="J1604" i="5"/>
  <c r="I1604" i="5"/>
  <c r="J1603" i="5"/>
  <c r="I1603" i="5"/>
  <c r="J1602" i="5"/>
  <c r="I1602" i="5"/>
  <c r="J1601" i="5"/>
  <c r="I1601" i="5"/>
  <c r="J1597" i="5"/>
  <c r="I1597" i="5"/>
  <c r="J1596" i="5"/>
  <c r="I1596" i="5"/>
  <c r="J1595" i="5"/>
  <c r="I1595" i="5"/>
  <c r="J1594" i="5"/>
  <c r="I1594" i="5"/>
  <c r="J1582" i="5"/>
  <c r="I1582" i="5"/>
  <c r="J1581" i="5"/>
  <c r="I1581" i="5"/>
  <c r="J1578" i="5"/>
  <c r="I1578" i="5"/>
  <c r="J1577" i="5"/>
  <c r="I1577" i="5"/>
  <c r="J1576" i="5"/>
  <c r="I1576" i="5"/>
  <c r="J1575" i="5"/>
  <c r="I1575" i="5"/>
  <c r="J1574" i="5"/>
  <c r="I1574" i="5"/>
  <c r="J1573" i="5"/>
  <c r="I1573" i="5"/>
  <c r="J1572" i="5"/>
  <c r="I1572" i="5"/>
  <c r="J1571" i="5"/>
  <c r="I1571" i="5"/>
  <c r="J1570" i="5"/>
  <c r="I1570" i="5"/>
  <c r="J1569" i="5"/>
  <c r="I1569" i="5"/>
  <c r="J1568" i="5"/>
  <c r="I1568" i="5"/>
  <c r="J1567" i="5"/>
  <c r="I1567" i="5"/>
  <c r="J1566" i="5"/>
  <c r="I1566" i="5"/>
  <c r="J1561" i="5"/>
  <c r="J1562" i="5" s="1"/>
  <c r="I1561" i="5"/>
  <c r="I1562" i="5" s="1"/>
  <c r="J1557" i="5"/>
  <c r="I1557" i="5"/>
  <c r="J1556" i="5"/>
  <c r="I1556" i="5"/>
  <c r="J1555" i="5"/>
  <c r="I1555" i="5"/>
  <c r="J1554" i="5"/>
  <c r="I1554" i="5"/>
  <c r="J1553" i="5"/>
  <c r="I1553" i="5"/>
  <c r="J1552" i="5"/>
  <c r="I1552" i="5"/>
  <c r="J1551" i="5"/>
  <c r="I1551" i="5"/>
  <c r="J1550" i="5"/>
  <c r="I1550" i="5"/>
  <c r="J1549" i="5"/>
  <c r="I1549" i="5"/>
  <c r="J1548" i="5"/>
  <c r="I1548" i="5"/>
  <c r="J1547" i="5"/>
  <c r="I1547" i="5"/>
  <c r="J1546" i="5"/>
  <c r="I1546" i="5"/>
  <c r="J1545" i="5"/>
  <c r="I1545" i="5"/>
  <c r="J1541" i="5"/>
  <c r="I1541" i="5"/>
  <c r="J1539" i="5"/>
  <c r="I1539" i="5"/>
  <c r="J1537" i="5"/>
  <c r="I1537" i="5"/>
  <c r="J1535" i="5"/>
  <c r="I1535" i="5"/>
  <c r="J1534" i="5"/>
  <c r="I1534" i="5"/>
  <c r="J1532" i="5"/>
  <c r="I1532" i="5"/>
  <c r="J1529" i="5"/>
  <c r="I1529" i="5"/>
  <c r="J1528" i="5"/>
  <c r="I1528" i="5"/>
  <c r="J1526" i="5"/>
  <c r="I1526" i="5"/>
  <c r="J1524" i="5"/>
  <c r="I1524" i="5"/>
  <c r="J1523" i="5"/>
  <c r="I1523" i="5"/>
  <c r="J1521" i="5"/>
  <c r="I1521" i="5"/>
  <c r="J1519" i="5"/>
  <c r="I1519" i="5"/>
  <c r="J1517" i="5"/>
  <c r="I1517" i="5"/>
  <c r="J1516" i="5"/>
  <c r="I1516" i="5"/>
  <c r="J1514" i="5"/>
  <c r="I1514" i="5"/>
  <c r="J1513" i="5"/>
  <c r="I1513" i="5"/>
  <c r="J1511" i="5"/>
  <c r="I1511" i="5"/>
  <c r="J1509" i="5"/>
  <c r="I1509" i="5"/>
  <c r="J1508" i="5"/>
  <c r="I1508" i="5"/>
  <c r="J1502" i="5"/>
  <c r="I1502" i="5"/>
  <c r="J1501" i="5"/>
  <c r="I1501" i="5"/>
  <c r="J1500" i="5"/>
  <c r="I1500" i="5"/>
  <c r="J1499" i="5"/>
  <c r="I1499" i="5"/>
  <c r="J1498" i="5"/>
  <c r="I1498" i="5"/>
  <c r="J1497" i="5"/>
  <c r="I1497" i="5"/>
  <c r="J1495" i="5"/>
  <c r="I1495" i="5"/>
  <c r="J1494" i="5"/>
  <c r="I1494" i="5"/>
  <c r="J1493" i="5"/>
  <c r="I1493" i="5"/>
  <c r="J1492" i="5"/>
  <c r="I1492" i="5"/>
  <c r="J1491" i="5"/>
  <c r="I1491" i="5"/>
  <c r="J1490" i="5"/>
  <c r="I1490" i="5"/>
  <c r="J1486" i="5"/>
  <c r="I1486" i="5"/>
  <c r="J1485" i="5"/>
  <c r="I1485" i="5"/>
  <c r="J1484" i="5"/>
  <c r="I1484" i="5"/>
  <c r="J1480" i="5"/>
  <c r="I1480" i="5"/>
  <c r="J1478" i="5"/>
  <c r="I1478" i="5"/>
  <c r="J1477" i="5"/>
  <c r="I1477" i="5"/>
  <c r="J1476" i="5"/>
  <c r="I1476" i="5"/>
  <c r="J1475" i="5"/>
  <c r="I1475" i="5"/>
  <c r="J1474" i="5"/>
  <c r="I1474" i="5"/>
  <c r="J1473" i="5"/>
  <c r="I1473" i="5"/>
  <c r="J1472" i="5"/>
  <c r="I1472" i="5"/>
  <c r="J1470" i="5"/>
  <c r="I1470" i="5"/>
  <c r="J1469" i="5"/>
  <c r="I1469" i="5"/>
  <c r="J1468" i="5"/>
  <c r="I1468" i="5"/>
  <c r="J1467" i="5"/>
  <c r="I1467" i="5"/>
  <c r="J1466" i="5"/>
  <c r="I1466" i="5"/>
  <c r="J1465" i="5"/>
  <c r="I1465" i="5"/>
  <c r="J1464" i="5"/>
  <c r="I1464" i="5"/>
  <c r="J1463" i="5"/>
  <c r="I1463" i="5"/>
  <c r="J1462" i="5"/>
  <c r="I1462" i="5"/>
  <c r="J1461" i="5"/>
  <c r="I1461" i="5"/>
  <c r="J1460" i="5"/>
  <c r="I1460" i="5"/>
  <c r="J1459" i="5"/>
  <c r="I1459" i="5"/>
  <c r="J1458" i="5"/>
  <c r="I1458" i="5"/>
  <c r="J1457" i="5"/>
  <c r="I1457" i="5"/>
  <c r="J1456" i="5"/>
  <c r="I1456" i="5"/>
  <c r="J1454" i="5"/>
  <c r="I1454" i="5"/>
  <c r="J1453" i="5"/>
  <c r="I1453" i="5"/>
  <c r="J1452" i="5"/>
  <c r="I1452" i="5"/>
  <c r="J1451" i="5"/>
  <c r="I1451" i="5"/>
  <c r="J1450" i="5"/>
  <c r="I1450" i="5"/>
  <c r="J1449" i="5"/>
  <c r="I1449" i="5"/>
  <c r="J1447" i="5"/>
  <c r="I1447" i="5"/>
  <c r="J1445" i="5"/>
  <c r="I1445" i="5"/>
  <c r="J1443" i="5"/>
  <c r="I1443" i="5"/>
  <c r="J1441" i="5"/>
  <c r="I1441" i="5"/>
  <c r="J1440" i="5"/>
  <c r="I1440" i="5"/>
  <c r="J1437" i="5"/>
  <c r="I1437" i="5"/>
  <c r="J1436" i="5"/>
  <c r="I1436" i="5"/>
  <c r="J1435" i="5"/>
  <c r="I1435" i="5"/>
  <c r="J1434" i="5"/>
  <c r="I1434" i="5"/>
  <c r="J1433" i="5"/>
  <c r="I1433" i="5"/>
  <c r="J1432" i="5"/>
  <c r="I1432" i="5"/>
  <c r="J1431" i="5"/>
  <c r="I1431" i="5"/>
  <c r="J1430" i="5"/>
  <c r="I1430" i="5"/>
  <c r="J1428" i="5"/>
  <c r="I1428" i="5"/>
  <c r="J1427" i="5"/>
  <c r="I1427" i="5"/>
  <c r="J1425" i="5"/>
  <c r="I1425" i="5"/>
  <c r="J1424" i="5"/>
  <c r="I1424" i="5"/>
  <c r="J1423" i="5"/>
  <c r="I1423" i="5"/>
  <c r="J1422" i="5"/>
  <c r="I1422" i="5"/>
  <c r="J1420" i="5"/>
  <c r="I1420" i="5"/>
  <c r="J1419" i="5"/>
  <c r="I1419" i="5"/>
  <c r="J1417" i="5"/>
  <c r="I1417" i="5"/>
  <c r="J1416" i="5"/>
  <c r="I1416" i="5"/>
  <c r="J1415" i="5"/>
  <c r="I1415" i="5"/>
  <c r="J1414" i="5"/>
  <c r="I1414" i="5"/>
  <c r="J1413" i="5"/>
  <c r="I1413" i="5"/>
  <c r="J1412" i="5"/>
  <c r="I1412" i="5"/>
  <c r="J1411" i="5"/>
  <c r="I1411" i="5"/>
  <c r="J1406" i="5"/>
  <c r="I1406" i="5"/>
  <c r="J1404" i="5"/>
  <c r="I1404" i="5"/>
  <c r="J1403" i="5"/>
  <c r="I1403" i="5"/>
  <c r="J1402" i="5"/>
  <c r="I1402" i="5"/>
  <c r="J1400" i="5"/>
  <c r="I1400" i="5"/>
  <c r="J1398" i="5"/>
  <c r="I1398" i="5"/>
  <c r="J1397" i="5"/>
  <c r="I1397" i="5"/>
  <c r="J1396" i="5"/>
  <c r="I1396" i="5"/>
  <c r="J1395" i="5"/>
  <c r="I1395" i="5"/>
  <c r="J1393" i="5"/>
  <c r="I1393" i="5"/>
  <c r="J1392" i="5"/>
  <c r="I1392" i="5"/>
  <c r="J1391" i="5"/>
  <c r="I1391" i="5"/>
  <c r="I1407" i="5" s="1"/>
  <c r="J1387" i="5"/>
  <c r="I1387" i="5"/>
  <c r="J1386" i="5"/>
  <c r="I1386" i="5"/>
  <c r="J1385" i="5"/>
  <c r="I1385" i="5"/>
  <c r="J1384" i="5"/>
  <c r="I1384" i="5"/>
  <c r="J1383" i="5"/>
  <c r="I1383" i="5"/>
  <c r="J1382" i="5"/>
  <c r="I1382" i="5"/>
  <c r="J1379" i="5"/>
  <c r="I1379" i="5"/>
  <c r="J1378" i="5"/>
  <c r="I1378" i="5"/>
  <c r="J1377" i="5"/>
  <c r="I1377" i="5"/>
  <c r="J1376" i="5"/>
  <c r="I1376" i="5"/>
  <c r="J1375" i="5"/>
  <c r="I1375" i="5"/>
  <c r="J1374" i="5"/>
  <c r="I1374" i="5"/>
  <c r="J1371" i="5"/>
  <c r="I1371" i="5"/>
  <c r="J1370" i="5"/>
  <c r="I1370" i="5"/>
  <c r="J1369" i="5"/>
  <c r="I1369" i="5"/>
  <c r="J1368" i="5"/>
  <c r="I1368" i="5"/>
  <c r="J1367" i="5"/>
  <c r="I1367" i="5"/>
  <c r="J1366" i="5"/>
  <c r="I1366" i="5"/>
  <c r="J1365" i="5"/>
  <c r="I1365" i="5"/>
  <c r="J1364" i="5"/>
  <c r="I1364" i="5"/>
  <c r="J1363" i="5"/>
  <c r="I1363" i="5"/>
  <c r="J1362" i="5"/>
  <c r="I1362" i="5"/>
  <c r="J1361" i="5"/>
  <c r="I1361" i="5"/>
  <c r="J1360" i="5"/>
  <c r="I1360" i="5"/>
  <c r="J1359" i="5"/>
  <c r="I1359" i="5"/>
  <c r="J1356" i="5"/>
  <c r="I1356" i="5"/>
  <c r="J1355" i="5"/>
  <c r="I1355" i="5"/>
  <c r="J1354" i="5"/>
  <c r="I1354" i="5"/>
  <c r="J1353" i="5"/>
  <c r="I1353" i="5"/>
  <c r="J1352" i="5"/>
  <c r="I1352" i="5"/>
  <c r="J1351" i="5"/>
  <c r="I1351" i="5"/>
  <c r="J1350" i="5"/>
  <c r="I1350" i="5"/>
  <c r="J1347" i="5"/>
  <c r="I1347" i="5"/>
  <c r="J1346" i="5"/>
  <c r="I1346" i="5"/>
  <c r="J1345" i="5"/>
  <c r="I1345" i="5"/>
  <c r="J1344" i="5"/>
  <c r="I1344" i="5"/>
  <c r="J1343" i="5"/>
  <c r="I1343" i="5"/>
  <c r="J1342" i="5"/>
  <c r="I1342" i="5"/>
  <c r="J1341" i="5"/>
  <c r="I1341" i="5"/>
  <c r="J1340" i="5"/>
  <c r="I1340" i="5"/>
  <c r="J1339" i="5"/>
  <c r="I1339" i="5"/>
  <c r="J1338" i="5"/>
  <c r="I1338" i="5"/>
  <c r="J1337" i="5"/>
  <c r="I1337" i="5"/>
  <c r="J1336" i="5"/>
  <c r="I1336" i="5"/>
  <c r="J1335" i="5"/>
  <c r="I1335" i="5"/>
  <c r="J1334" i="5"/>
  <c r="I1334" i="5"/>
  <c r="J1333" i="5"/>
  <c r="I1333" i="5"/>
  <c r="J1332" i="5"/>
  <c r="I1332" i="5"/>
  <c r="J1329" i="5"/>
  <c r="I1329" i="5"/>
  <c r="J1328" i="5"/>
  <c r="I1328" i="5"/>
  <c r="J1327" i="5"/>
  <c r="I1327" i="5"/>
  <c r="J1326" i="5"/>
  <c r="I1326" i="5"/>
  <c r="J1325" i="5"/>
  <c r="I1325" i="5"/>
  <c r="J1324" i="5"/>
  <c r="I1324" i="5"/>
  <c r="J1323" i="5"/>
  <c r="I1323" i="5"/>
  <c r="J1322" i="5"/>
  <c r="I1322" i="5"/>
  <c r="J1321" i="5"/>
  <c r="I1321" i="5"/>
  <c r="J1320" i="5"/>
  <c r="I1320" i="5"/>
  <c r="J1319" i="5"/>
  <c r="I1319" i="5"/>
  <c r="J1318" i="5"/>
  <c r="I1318" i="5"/>
  <c r="J1315" i="5"/>
  <c r="I1315" i="5"/>
  <c r="J1314" i="5"/>
  <c r="I1314" i="5"/>
  <c r="J1313" i="5"/>
  <c r="I1313" i="5"/>
  <c r="J1312" i="5"/>
  <c r="I1312" i="5"/>
  <c r="J1311" i="5"/>
  <c r="I1311" i="5"/>
  <c r="J1310" i="5"/>
  <c r="I1310" i="5"/>
  <c r="J1309" i="5"/>
  <c r="I1309" i="5"/>
  <c r="J1308" i="5"/>
  <c r="I1308" i="5"/>
  <c r="J1307" i="5"/>
  <c r="I1307" i="5"/>
  <c r="J1306" i="5"/>
  <c r="I1306" i="5"/>
  <c r="J1305" i="5"/>
  <c r="I1305" i="5"/>
  <c r="J1304" i="5"/>
  <c r="I1304" i="5"/>
  <c r="J1303" i="5"/>
  <c r="I1303" i="5"/>
  <c r="J1300" i="5"/>
  <c r="I1300" i="5"/>
  <c r="J1299" i="5"/>
  <c r="I1299" i="5"/>
  <c r="J1297" i="5"/>
  <c r="I1297" i="5"/>
  <c r="J1296" i="5"/>
  <c r="I1296" i="5"/>
  <c r="J1295" i="5"/>
  <c r="I1295" i="5"/>
  <c r="J1294" i="5"/>
  <c r="I1294" i="5"/>
  <c r="J1293" i="5"/>
  <c r="I1293" i="5"/>
  <c r="J1292" i="5"/>
  <c r="I1292" i="5"/>
  <c r="J1290" i="5"/>
  <c r="I1290" i="5"/>
  <c r="J1289" i="5"/>
  <c r="I1289" i="5"/>
  <c r="J1288" i="5"/>
  <c r="I1288" i="5"/>
  <c r="J1284" i="5"/>
  <c r="I1284" i="5"/>
  <c r="J1283" i="5"/>
  <c r="I1283" i="5"/>
  <c r="J1282" i="5"/>
  <c r="I1282" i="5"/>
  <c r="J1281" i="5"/>
  <c r="I1281" i="5"/>
  <c r="J1280" i="5"/>
  <c r="I1280" i="5"/>
  <c r="J1279" i="5"/>
  <c r="I1279" i="5"/>
  <c r="J1278" i="5"/>
  <c r="I1278" i="5"/>
  <c r="J1277" i="5"/>
  <c r="I1277" i="5"/>
  <c r="J1276" i="5"/>
  <c r="I1276" i="5"/>
  <c r="J1275" i="5"/>
  <c r="I1275" i="5"/>
  <c r="J1274" i="5"/>
  <c r="I1274" i="5"/>
  <c r="J1273" i="5"/>
  <c r="I1273" i="5"/>
  <c r="J1270" i="5"/>
  <c r="I1270" i="5"/>
  <c r="J1269" i="5"/>
  <c r="I1269" i="5"/>
  <c r="J1268" i="5"/>
  <c r="I1268" i="5"/>
  <c r="J1265" i="5"/>
  <c r="I1265" i="5"/>
  <c r="J1264" i="5"/>
  <c r="I1264" i="5"/>
  <c r="J1263" i="5"/>
  <c r="I1263" i="5"/>
  <c r="J1262" i="5"/>
  <c r="I1262" i="5"/>
  <c r="J1261" i="5"/>
  <c r="I1261" i="5"/>
  <c r="J1260" i="5"/>
  <c r="I1260" i="5"/>
  <c r="J1257" i="5"/>
  <c r="I1257" i="5"/>
  <c r="J1256" i="5"/>
  <c r="I1256" i="5"/>
  <c r="J1253" i="5"/>
  <c r="I1253" i="5"/>
  <c r="J1252" i="5"/>
  <c r="I1252" i="5"/>
  <c r="J1251" i="5"/>
  <c r="I1251" i="5"/>
  <c r="J1246" i="5"/>
  <c r="I1246" i="5"/>
  <c r="J1245" i="5"/>
  <c r="I1245" i="5"/>
  <c r="J1243" i="5"/>
  <c r="I1243" i="5"/>
  <c r="J1242" i="5"/>
  <c r="I1242" i="5"/>
  <c r="J1241" i="5"/>
  <c r="I1241" i="5"/>
  <c r="J1239" i="5"/>
  <c r="I1239" i="5"/>
  <c r="J1238" i="5"/>
  <c r="I1238" i="5"/>
  <c r="J1236" i="5"/>
  <c r="I1236" i="5"/>
  <c r="J1235" i="5"/>
  <c r="I1235" i="5"/>
  <c r="J1234" i="5"/>
  <c r="I1234" i="5"/>
  <c r="J1232" i="5"/>
  <c r="I1232" i="5"/>
  <c r="J1231" i="5"/>
  <c r="I1231" i="5"/>
  <c r="J1230" i="5"/>
  <c r="I1230" i="5"/>
  <c r="J1229" i="5"/>
  <c r="I1229" i="5"/>
  <c r="J1228" i="5"/>
  <c r="I1228" i="5"/>
  <c r="J1227" i="5"/>
  <c r="I1227" i="5"/>
  <c r="J1226" i="5"/>
  <c r="I1226" i="5"/>
  <c r="J1225" i="5"/>
  <c r="I1225" i="5"/>
  <c r="J1224" i="5"/>
  <c r="I1224" i="5"/>
  <c r="J1223" i="5"/>
  <c r="I1223" i="5"/>
  <c r="J1222" i="5"/>
  <c r="I1222" i="5"/>
  <c r="J1220" i="5"/>
  <c r="I1220" i="5"/>
  <c r="J1219" i="5"/>
  <c r="I1219" i="5"/>
  <c r="J1218" i="5"/>
  <c r="I1218" i="5"/>
  <c r="J1217" i="5"/>
  <c r="I1217" i="5"/>
  <c r="J1214" i="5"/>
  <c r="I1214" i="5"/>
  <c r="J1213" i="5"/>
  <c r="I1213" i="5"/>
  <c r="J1212" i="5"/>
  <c r="I1212" i="5"/>
  <c r="J1211" i="5"/>
  <c r="I1211" i="5"/>
  <c r="J1210" i="5"/>
  <c r="I1210" i="5"/>
  <c r="J1208" i="5"/>
  <c r="I1208" i="5"/>
  <c r="J1206" i="5"/>
  <c r="I1206" i="5"/>
  <c r="J1204" i="5"/>
  <c r="I1204" i="5"/>
  <c r="J1202" i="5"/>
  <c r="I1202" i="5"/>
  <c r="J1201" i="5"/>
  <c r="I1201" i="5"/>
  <c r="J1199" i="5"/>
  <c r="I1199" i="5"/>
  <c r="J1198" i="5"/>
  <c r="I1198" i="5"/>
  <c r="J1197" i="5"/>
  <c r="I1197" i="5"/>
  <c r="J1196" i="5"/>
  <c r="I1196" i="5"/>
  <c r="J1195" i="5"/>
  <c r="I1195" i="5"/>
  <c r="J1193" i="5"/>
  <c r="I1193" i="5"/>
  <c r="J1192" i="5"/>
  <c r="I1192" i="5"/>
  <c r="J1190" i="5"/>
  <c r="I1190" i="5"/>
  <c r="J1189" i="5"/>
  <c r="I1189" i="5"/>
  <c r="J1188" i="5"/>
  <c r="I1188" i="5"/>
  <c r="J1187" i="5"/>
  <c r="I1187" i="5"/>
  <c r="J1186" i="5"/>
  <c r="I1186" i="5"/>
  <c r="J1185" i="5"/>
  <c r="I1185" i="5"/>
  <c r="J1184" i="5"/>
  <c r="I1184" i="5"/>
  <c r="J1183" i="5"/>
  <c r="I1183" i="5"/>
  <c r="J1181" i="5"/>
  <c r="I1181" i="5"/>
  <c r="J1179" i="5"/>
  <c r="I1179" i="5"/>
  <c r="J1178" i="5"/>
  <c r="I1178" i="5"/>
  <c r="J1177" i="5"/>
  <c r="I1177" i="5"/>
  <c r="J1176" i="5"/>
  <c r="I1176" i="5"/>
  <c r="J1175" i="5"/>
  <c r="I1175" i="5"/>
  <c r="J1171" i="5"/>
  <c r="I1171" i="5"/>
  <c r="J1170" i="5"/>
  <c r="I1170" i="5"/>
  <c r="J1168" i="5"/>
  <c r="I1168" i="5"/>
  <c r="J1166" i="5"/>
  <c r="I1166" i="5"/>
  <c r="J1165" i="5"/>
  <c r="I1165" i="5"/>
  <c r="J1163" i="5"/>
  <c r="I1163" i="5"/>
  <c r="J1162" i="5"/>
  <c r="I1162" i="5"/>
  <c r="J1161" i="5"/>
  <c r="I1161" i="5"/>
  <c r="J1160" i="5"/>
  <c r="I1160" i="5"/>
  <c r="J1159" i="5"/>
  <c r="I1159" i="5"/>
  <c r="J1157" i="5"/>
  <c r="I1157" i="5"/>
  <c r="J1156" i="5"/>
  <c r="I1156" i="5"/>
  <c r="J1152" i="5"/>
  <c r="I1152" i="5"/>
  <c r="J1151" i="5"/>
  <c r="I1151" i="5"/>
  <c r="J1149" i="5"/>
  <c r="I1149" i="5"/>
  <c r="J1148" i="5"/>
  <c r="I1148" i="5"/>
  <c r="J1147" i="5"/>
  <c r="I1147" i="5"/>
  <c r="J1146" i="5"/>
  <c r="I1146" i="5"/>
  <c r="J1145" i="5"/>
  <c r="I1145" i="5"/>
  <c r="J1144" i="5"/>
  <c r="I1144" i="5"/>
  <c r="J1143" i="5"/>
  <c r="I1143" i="5"/>
  <c r="J1141" i="5"/>
  <c r="I1141" i="5"/>
  <c r="J1140" i="5"/>
  <c r="I1140" i="5"/>
  <c r="J1138" i="5"/>
  <c r="I1138" i="5"/>
  <c r="J1137" i="5"/>
  <c r="I1137" i="5"/>
  <c r="J1135" i="5"/>
  <c r="I1135" i="5"/>
  <c r="J1134" i="5"/>
  <c r="I1134" i="5"/>
  <c r="J1133" i="5"/>
  <c r="I1133" i="5"/>
  <c r="J1132" i="5"/>
  <c r="I1132" i="5"/>
  <c r="J1131" i="5"/>
  <c r="I1131" i="5"/>
  <c r="J1130" i="5"/>
  <c r="I1130" i="5"/>
  <c r="J1125" i="5"/>
  <c r="I1125" i="5"/>
  <c r="J1123" i="5"/>
  <c r="I1123" i="5"/>
  <c r="J1122" i="5"/>
  <c r="I1122" i="5"/>
  <c r="J1120" i="5"/>
  <c r="I1120" i="5"/>
  <c r="J1119" i="5"/>
  <c r="I1119" i="5"/>
  <c r="J1118" i="5"/>
  <c r="I1118" i="5"/>
  <c r="J1116" i="5"/>
  <c r="I1116" i="5"/>
  <c r="J1115" i="5"/>
  <c r="I1115" i="5"/>
  <c r="J1113" i="5"/>
  <c r="I1113" i="5"/>
  <c r="J1112" i="5"/>
  <c r="I1112" i="5"/>
  <c r="J1111" i="5"/>
  <c r="I1111" i="5"/>
  <c r="J1110" i="5"/>
  <c r="I1110" i="5"/>
  <c r="J1108" i="5"/>
  <c r="I1108" i="5"/>
  <c r="J1106" i="5"/>
  <c r="I1106" i="5"/>
  <c r="J1105" i="5"/>
  <c r="I1105" i="5"/>
  <c r="J1104" i="5"/>
  <c r="I1104" i="5"/>
  <c r="J1103" i="5"/>
  <c r="I1103" i="5"/>
  <c r="J1099" i="5"/>
  <c r="I1099" i="5"/>
  <c r="J1098" i="5"/>
  <c r="I1098" i="5"/>
  <c r="J1097" i="5"/>
  <c r="I1097" i="5"/>
  <c r="J1094" i="5"/>
  <c r="I1094" i="5"/>
  <c r="J1093" i="5"/>
  <c r="I1093" i="5"/>
  <c r="J1092" i="5"/>
  <c r="I1092" i="5"/>
  <c r="J1091" i="5"/>
  <c r="I1091" i="5"/>
  <c r="J1090" i="5"/>
  <c r="I1090" i="5"/>
  <c r="J1089" i="5"/>
  <c r="I1089" i="5"/>
  <c r="J1088" i="5"/>
  <c r="I1088" i="5"/>
  <c r="J1087" i="5"/>
  <c r="I1087" i="5"/>
  <c r="J1086" i="5"/>
  <c r="I1086" i="5"/>
  <c r="J1085" i="5"/>
  <c r="I1085" i="5"/>
  <c r="J1084" i="5"/>
  <c r="I1084" i="5"/>
  <c r="J1083" i="5"/>
  <c r="I1083" i="5"/>
  <c r="J1082" i="5"/>
  <c r="I1082" i="5"/>
  <c r="J1081" i="5"/>
  <c r="I1081" i="5"/>
  <c r="J1080" i="5"/>
  <c r="I1080" i="5"/>
  <c r="J1079" i="5"/>
  <c r="I1079" i="5"/>
  <c r="J1078" i="5"/>
  <c r="I1078" i="5"/>
  <c r="J1077" i="5"/>
  <c r="I1077" i="5"/>
  <c r="J1076" i="5"/>
  <c r="I1076" i="5"/>
  <c r="J1075" i="5"/>
  <c r="I1075" i="5"/>
  <c r="J1074" i="5"/>
  <c r="I1074" i="5"/>
  <c r="J1073" i="5"/>
  <c r="I1073" i="5"/>
  <c r="J1072" i="5"/>
  <c r="I1072" i="5"/>
  <c r="J1071" i="5"/>
  <c r="I1071" i="5"/>
  <c r="J1070" i="5"/>
  <c r="I1070" i="5"/>
  <c r="J1069" i="5"/>
  <c r="I1069" i="5"/>
  <c r="J1068" i="5"/>
  <c r="I1068" i="5"/>
  <c r="J1067" i="5"/>
  <c r="I1067" i="5"/>
  <c r="J1066" i="5"/>
  <c r="I1066" i="5"/>
  <c r="J1065" i="5"/>
  <c r="I1065" i="5"/>
  <c r="J1064" i="5"/>
  <c r="I1064" i="5"/>
  <c r="J1063" i="5"/>
  <c r="I1063" i="5"/>
  <c r="J1062" i="5"/>
  <c r="I1062" i="5"/>
  <c r="J1061" i="5"/>
  <c r="I1061" i="5"/>
  <c r="J1060" i="5"/>
  <c r="I1060" i="5"/>
  <c r="J1059" i="5"/>
  <c r="I1059" i="5"/>
  <c r="J1058" i="5"/>
  <c r="I1058" i="5"/>
  <c r="J1057" i="5"/>
  <c r="I1057" i="5"/>
  <c r="J1056" i="5"/>
  <c r="I1056" i="5"/>
  <c r="J1055" i="5"/>
  <c r="I1055" i="5"/>
  <c r="J1054" i="5"/>
  <c r="I1054" i="5"/>
  <c r="J1053" i="5"/>
  <c r="I1053" i="5"/>
  <c r="J1052" i="5"/>
  <c r="I1052" i="5"/>
  <c r="J1051" i="5"/>
  <c r="I1051" i="5"/>
  <c r="J1050" i="5"/>
  <c r="I1050" i="5"/>
  <c r="J1049" i="5"/>
  <c r="I1049" i="5"/>
  <c r="J1048" i="5"/>
  <c r="I1048" i="5"/>
  <c r="J1047" i="5"/>
  <c r="I1047" i="5"/>
  <c r="J1046" i="5"/>
  <c r="I1046" i="5"/>
  <c r="J1045" i="5"/>
  <c r="I1045" i="5"/>
  <c r="J1044" i="5"/>
  <c r="I1044" i="5"/>
  <c r="J1043" i="5"/>
  <c r="I1043" i="5"/>
  <c r="J1042" i="5"/>
  <c r="I1042" i="5"/>
  <c r="J1041" i="5"/>
  <c r="I1041" i="5"/>
  <c r="J1038" i="5"/>
  <c r="I1038" i="5"/>
  <c r="J1037" i="5"/>
  <c r="I1037" i="5"/>
  <c r="J1036" i="5"/>
  <c r="I1036" i="5"/>
  <c r="J1034" i="5"/>
  <c r="I1034" i="5"/>
  <c r="J1033" i="5"/>
  <c r="I1033" i="5"/>
  <c r="J1032" i="5"/>
  <c r="I1032" i="5"/>
  <c r="J1031" i="5"/>
  <c r="I1031" i="5"/>
  <c r="J1029" i="5"/>
  <c r="I1029" i="5"/>
  <c r="J1028" i="5"/>
  <c r="I1028" i="5"/>
  <c r="J1027" i="5"/>
  <c r="I1027" i="5"/>
  <c r="J1026" i="5"/>
  <c r="I1026" i="5"/>
  <c r="J1025" i="5"/>
  <c r="I1025" i="5"/>
  <c r="J1024" i="5"/>
  <c r="I1024" i="5"/>
  <c r="J1023" i="5"/>
  <c r="I1023" i="5"/>
  <c r="J1022" i="5"/>
  <c r="I1022" i="5"/>
  <c r="J1021" i="5"/>
  <c r="I1021" i="5"/>
  <c r="J1020" i="5"/>
  <c r="I1020" i="5"/>
  <c r="J1019" i="5"/>
  <c r="I1019" i="5"/>
  <c r="J1017" i="5"/>
  <c r="I1017" i="5"/>
  <c r="J1016" i="5"/>
  <c r="I1016" i="5"/>
  <c r="J1015" i="5"/>
  <c r="I1015" i="5"/>
  <c r="J1014" i="5"/>
  <c r="I1014" i="5"/>
  <c r="J1013" i="5"/>
  <c r="I1013" i="5"/>
  <c r="J1012" i="5"/>
  <c r="I1012" i="5"/>
  <c r="J1010" i="5"/>
  <c r="I1010" i="5"/>
  <c r="J1009" i="5"/>
  <c r="I1009" i="5"/>
  <c r="J1008" i="5"/>
  <c r="I1008" i="5"/>
  <c r="J1007" i="5"/>
  <c r="I1007" i="5"/>
  <c r="J1006" i="5"/>
  <c r="I1006" i="5"/>
  <c r="J1005" i="5"/>
  <c r="I1005" i="5"/>
  <c r="J1004" i="5"/>
  <c r="I1004" i="5"/>
  <c r="J1003" i="5"/>
  <c r="I1003" i="5"/>
  <c r="J1002" i="5"/>
  <c r="I1002" i="5"/>
  <c r="J1001" i="5"/>
  <c r="I1001" i="5"/>
  <c r="J1000" i="5"/>
  <c r="I1000" i="5"/>
  <c r="J998" i="5"/>
  <c r="I998" i="5"/>
  <c r="J997" i="5"/>
  <c r="I997" i="5"/>
  <c r="J996" i="5"/>
  <c r="I996" i="5"/>
  <c r="J995" i="5"/>
  <c r="I995" i="5"/>
  <c r="J994" i="5"/>
  <c r="I994" i="5"/>
  <c r="J993" i="5"/>
  <c r="I993" i="5"/>
  <c r="J992" i="5"/>
  <c r="I992" i="5"/>
  <c r="J990" i="5"/>
  <c r="I990" i="5"/>
  <c r="J989" i="5"/>
  <c r="I989" i="5"/>
  <c r="J988" i="5"/>
  <c r="I988" i="5"/>
  <c r="J987" i="5"/>
  <c r="I987" i="5"/>
  <c r="J986" i="5"/>
  <c r="I986" i="5"/>
  <c r="J985" i="5"/>
  <c r="I985" i="5"/>
  <c r="J984" i="5"/>
  <c r="I984" i="5"/>
  <c r="J983" i="5"/>
  <c r="I983" i="5"/>
  <c r="J981" i="5"/>
  <c r="I981" i="5"/>
  <c r="J980" i="5"/>
  <c r="I980" i="5"/>
  <c r="J979" i="5"/>
  <c r="I979" i="5"/>
  <c r="J978" i="5"/>
  <c r="I978" i="5"/>
  <c r="J977" i="5"/>
  <c r="I977" i="5"/>
  <c r="J972" i="5"/>
  <c r="I972" i="5"/>
  <c r="J971" i="5"/>
  <c r="I971" i="5"/>
  <c r="J970" i="5"/>
  <c r="I970" i="5"/>
  <c r="J969" i="5"/>
  <c r="I969" i="5"/>
  <c r="J968" i="5"/>
  <c r="I968" i="5"/>
  <c r="J967" i="5"/>
  <c r="I967" i="5"/>
  <c r="J966" i="5"/>
  <c r="I966" i="5"/>
  <c r="J965" i="5"/>
  <c r="I965" i="5"/>
  <c r="J964" i="5"/>
  <c r="I964" i="5"/>
  <c r="J963" i="5"/>
  <c r="I963" i="5"/>
  <c r="J962" i="5"/>
  <c r="I962" i="5"/>
  <c r="J961" i="5"/>
  <c r="I961" i="5"/>
  <c r="J960" i="5"/>
  <c r="I960" i="5"/>
  <c r="J959" i="5"/>
  <c r="I959" i="5"/>
  <c r="J958" i="5"/>
  <c r="I958" i="5"/>
  <c r="J957" i="5"/>
  <c r="I957" i="5"/>
  <c r="J956" i="5"/>
  <c r="I956" i="5"/>
  <c r="J955" i="5"/>
  <c r="I955" i="5"/>
  <c r="J954" i="5"/>
  <c r="I954" i="5"/>
  <c r="J953" i="5"/>
  <c r="I953" i="5"/>
  <c r="J952" i="5"/>
  <c r="I952" i="5"/>
  <c r="J949" i="5"/>
  <c r="I949" i="5"/>
  <c r="J948" i="5"/>
  <c r="I948" i="5"/>
  <c r="J947" i="5"/>
  <c r="I947" i="5"/>
  <c r="J945" i="5"/>
  <c r="I945" i="5"/>
  <c r="J944" i="5"/>
  <c r="I944" i="5"/>
  <c r="J942" i="5"/>
  <c r="I942" i="5"/>
  <c r="J940" i="5"/>
  <c r="I940" i="5"/>
  <c r="J939" i="5"/>
  <c r="I939" i="5"/>
  <c r="J938" i="5"/>
  <c r="I938" i="5"/>
  <c r="J934" i="5"/>
  <c r="I934" i="5"/>
  <c r="J933" i="5"/>
  <c r="I933" i="5"/>
  <c r="J932" i="5"/>
  <c r="I932" i="5"/>
  <c r="J931" i="5"/>
  <c r="I931" i="5"/>
  <c r="J928" i="5"/>
  <c r="I928" i="5"/>
  <c r="J927" i="5"/>
  <c r="I927" i="5"/>
  <c r="J926" i="5"/>
  <c r="I926" i="5"/>
  <c r="J925" i="5"/>
  <c r="I925" i="5"/>
  <c r="J924" i="5"/>
  <c r="I924" i="5"/>
  <c r="J923" i="5"/>
  <c r="I923" i="5"/>
  <c r="J922" i="5"/>
  <c r="I922" i="5"/>
  <c r="J918" i="5"/>
  <c r="I918" i="5"/>
  <c r="J917" i="5"/>
  <c r="I917" i="5"/>
  <c r="J916" i="5"/>
  <c r="I916" i="5"/>
  <c r="J915" i="5"/>
  <c r="I915" i="5"/>
  <c r="J911" i="5"/>
  <c r="I911" i="5"/>
  <c r="J909" i="5"/>
  <c r="I909" i="5"/>
  <c r="J908" i="5"/>
  <c r="I908" i="5"/>
  <c r="J907" i="5"/>
  <c r="I907" i="5"/>
  <c r="J902" i="5"/>
  <c r="I902" i="5"/>
  <c r="J901" i="5"/>
  <c r="I901" i="5"/>
  <c r="J900" i="5"/>
  <c r="I900" i="5"/>
  <c r="J897" i="5"/>
  <c r="I897" i="5"/>
  <c r="J896" i="5"/>
  <c r="I896" i="5"/>
  <c r="J895" i="5"/>
  <c r="I895" i="5"/>
  <c r="J894" i="5"/>
  <c r="I894" i="5"/>
  <c r="J893" i="5"/>
  <c r="I893" i="5"/>
  <c r="J892" i="5"/>
  <c r="I892" i="5"/>
  <c r="J889" i="5"/>
  <c r="I889" i="5"/>
  <c r="J888" i="5"/>
  <c r="I888" i="5"/>
  <c r="J884" i="5"/>
  <c r="I884" i="5"/>
  <c r="J883" i="5"/>
  <c r="I883" i="5"/>
  <c r="J882" i="5"/>
  <c r="I882" i="5"/>
  <c r="J880" i="5"/>
  <c r="I880" i="5"/>
  <c r="J879" i="5"/>
  <c r="I879" i="5"/>
  <c r="J878" i="5"/>
  <c r="I878" i="5"/>
  <c r="J877" i="5"/>
  <c r="I877" i="5"/>
  <c r="J876" i="5"/>
  <c r="I876" i="5"/>
  <c r="J875" i="5"/>
  <c r="I875" i="5"/>
  <c r="J874" i="5"/>
  <c r="I874" i="5"/>
  <c r="J873" i="5"/>
  <c r="I873" i="5"/>
  <c r="J872" i="5"/>
  <c r="I872" i="5"/>
  <c r="J871" i="5"/>
  <c r="I871" i="5"/>
  <c r="J870" i="5"/>
  <c r="I870" i="5"/>
  <c r="J869" i="5"/>
  <c r="I869" i="5"/>
  <c r="J868" i="5"/>
  <c r="I868" i="5"/>
  <c r="J867" i="5"/>
  <c r="I867" i="5"/>
  <c r="J866" i="5"/>
  <c r="I866" i="5"/>
  <c r="J865" i="5"/>
  <c r="I865" i="5"/>
  <c r="J864" i="5"/>
  <c r="I864" i="5"/>
  <c r="J863" i="5"/>
  <c r="I863" i="5"/>
  <c r="J862" i="5"/>
  <c r="I862" i="5"/>
  <c r="J861" i="5"/>
  <c r="I861" i="5"/>
  <c r="J859" i="5"/>
  <c r="I859" i="5"/>
  <c r="J855" i="5"/>
  <c r="I855" i="5"/>
  <c r="J854" i="5"/>
  <c r="I854" i="5"/>
  <c r="J853" i="5"/>
  <c r="I853" i="5"/>
  <c r="J852" i="5"/>
  <c r="I852" i="5"/>
  <c r="J851" i="5"/>
  <c r="I851" i="5"/>
  <c r="J850" i="5"/>
  <c r="I850" i="5"/>
  <c r="J849" i="5"/>
  <c r="I849" i="5"/>
  <c r="J845" i="5"/>
  <c r="I845" i="5"/>
  <c r="J844" i="5"/>
  <c r="I844" i="5"/>
  <c r="J843" i="5"/>
  <c r="I843" i="5"/>
  <c r="J842" i="5"/>
  <c r="I842" i="5"/>
  <c r="J841" i="5"/>
  <c r="I841" i="5"/>
  <c r="J840" i="5"/>
  <c r="I840" i="5"/>
  <c r="J839" i="5"/>
  <c r="I839" i="5"/>
  <c r="J835" i="5"/>
  <c r="I835" i="5"/>
  <c r="J834" i="5"/>
  <c r="I834" i="5"/>
  <c r="J833" i="5"/>
  <c r="I833" i="5"/>
  <c r="J832" i="5"/>
  <c r="I832" i="5"/>
  <c r="J830" i="5"/>
  <c r="I830" i="5"/>
  <c r="J829" i="5"/>
  <c r="I829" i="5"/>
  <c r="J828" i="5"/>
  <c r="I828" i="5"/>
  <c r="J827" i="5"/>
  <c r="I827" i="5"/>
  <c r="J825" i="5"/>
  <c r="I825" i="5"/>
  <c r="J824" i="5"/>
  <c r="I824" i="5"/>
  <c r="J823" i="5"/>
  <c r="I823" i="5"/>
  <c r="J822" i="5"/>
  <c r="I822" i="5"/>
  <c r="J820" i="5"/>
  <c r="I820" i="5"/>
  <c r="J819" i="5"/>
  <c r="I819" i="5"/>
  <c r="J818" i="5"/>
  <c r="I818" i="5"/>
  <c r="J817" i="5"/>
  <c r="I817" i="5"/>
  <c r="J813" i="5"/>
  <c r="I813" i="5"/>
  <c r="J812" i="5"/>
  <c r="I812" i="5"/>
  <c r="J811" i="5"/>
  <c r="I811" i="5"/>
  <c r="J810" i="5"/>
  <c r="I810" i="5"/>
  <c r="J808" i="5"/>
  <c r="I808" i="5"/>
  <c r="J807" i="5"/>
  <c r="I807" i="5"/>
  <c r="J806" i="5"/>
  <c r="I806" i="5"/>
  <c r="J805" i="5"/>
  <c r="I805" i="5"/>
  <c r="J801" i="5"/>
  <c r="I801" i="5"/>
  <c r="J800" i="5"/>
  <c r="I800" i="5"/>
  <c r="J799" i="5"/>
  <c r="I799" i="5"/>
  <c r="J798" i="5"/>
  <c r="I798" i="5"/>
  <c r="J787" i="5"/>
  <c r="I787" i="5"/>
  <c r="J786" i="5"/>
  <c r="I786" i="5"/>
  <c r="J783" i="5"/>
  <c r="I783" i="5"/>
  <c r="J782" i="5"/>
  <c r="I782" i="5"/>
  <c r="J781" i="5"/>
  <c r="I781" i="5"/>
  <c r="J780" i="5"/>
  <c r="I780" i="5"/>
  <c r="J779" i="5"/>
  <c r="I779" i="5"/>
  <c r="J778" i="5"/>
  <c r="I778" i="5"/>
  <c r="J777" i="5"/>
  <c r="I777" i="5"/>
  <c r="J776" i="5"/>
  <c r="I776" i="5"/>
  <c r="J775" i="5"/>
  <c r="I775" i="5"/>
  <c r="J774" i="5"/>
  <c r="I774" i="5"/>
  <c r="J773" i="5"/>
  <c r="I773" i="5"/>
  <c r="J772" i="5"/>
  <c r="I772" i="5"/>
  <c r="J771" i="5"/>
  <c r="I771" i="5"/>
  <c r="J766" i="5"/>
  <c r="J767" i="5" s="1"/>
  <c r="I766" i="5"/>
  <c r="I767" i="5" s="1"/>
  <c r="J762" i="5"/>
  <c r="I762" i="5"/>
  <c r="J761" i="5"/>
  <c r="I761" i="5"/>
  <c r="J760" i="5"/>
  <c r="I760" i="5"/>
  <c r="J759" i="5"/>
  <c r="I759" i="5"/>
  <c r="J758" i="5"/>
  <c r="I758" i="5"/>
  <c r="J757" i="5"/>
  <c r="I757" i="5"/>
  <c r="J756" i="5"/>
  <c r="I756" i="5"/>
  <c r="J755" i="5"/>
  <c r="I755" i="5"/>
  <c r="J754" i="5"/>
  <c r="I754" i="5"/>
  <c r="J753" i="5"/>
  <c r="I753" i="5"/>
  <c r="J752" i="5"/>
  <c r="I752" i="5"/>
  <c r="J751" i="5"/>
  <c r="I751" i="5"/>
  <c r="J750" i="5"/>
  <c r="I750" i="5"/>
  <c r="J746" i="5"/>
  <c r="I746" i="5"/>
  <c r="J744" i="5"/>
  <c r="I744" i="5"/>
  <c r="J742" i="5"/>
  <c r="I742" i="5"/>
  <c r="J740" i="5"/>
  <c r="I740" i="5"/>
  <c r="J739" i="5"/>
  <c r="I739" i="5"/>
  <c r="J737" i="5"/>
  <c r="I737" i="5"/>
  <c r="J734" i="5"/>
  <c r="I734" i="5"/>
  <c r="J733" i="5"/>
  <c r="I733" i="5"/>
  <c r="J731" i="5"/>
  <c r="I731" i="5"/>
  <c r="J729" i="5"/>
  <c r="I729" i="5"/>
  <c r="J728" i="5"/>
  <c r="I728" i="5"/>
  <c r="J726" i="5"/>
  <c r="I726" i="5"/>
  <c r="J724" i="5"/>
  <c r="I724" i="5"/>
  <c r="J722" i="5"/>
  <c r="I722" i="5"/>
  <c r="J721" i="5"/>
  <c r="I721" i="5"/>
  <c r="J719" i="5"/>
  <c r="I719" i="5"/>
  <c r="J718" i="5"/>
  <c r="I718" i="5"/>
  <c r="J716" i="5"/>
  <c r="I716" i="5"/>
  <c r="J714" i="5"/>
  <c r="I714" i="5"/>
  <c r="J713" i="5"/>
  <c r="I713" i="5"/>
  <c r="I1301" i="5" l="1"/>
  <c r="J788" i="5"/>
  <c r="J885" i="5"/>
  <c r="J1039" i="5"/>
  <c r="J1126" i="5"/>
  <c r="J1172" i="5"/>
  <c r="J1247" i="5"/>
  <c r="J1330" i="5"/>
  <c r="J1348" i="5"/>
  <c r="J1357" i="5"/>
  <c r="J1388" i="5"/>
  <c r="J1503" i="5"/>
  <c r="J1687" i="5"/>
  <c r="J1893" i="5"/>
  <c r="J2052" i="5"/>
  <c r="J2099" i="5"/>
  <c r="I2170" i="5"/>
  <c r="I2186" i="5"/>
  <c r="I2301" i="5"/>
  <c r="I1316" i="5"/>
  <c r="J2170" i="5"/>
  <c r="J1258" i="5"/>
  <c r="J1266" i="5"/>
  <c r="J1271" i="5"/>
  <c r="I747" i="5"/>
  <c r="I763" i="5"/>
  <c r="I788" i="5"/>
  <c r="I802" i="5"/>
  <c r="I814" i="5"/>
  <c r="I836" i="5"/>
  <c r="I846" i="5"/>
  <c r="I856" i="5"/>
  <c r="I885" i="5"/>
  <c r="I890" i="5"/>
  <c r="I898" i="5"/>
  <c r="I903" i="5"/>
  <c r="I1039" i="5"/>
  <c r="I1172" i="5"/>
  <c r="I1247" i="5"/>
  <c r="I1254" i="5"/>
  <c r="I1380" i="5"/>
  <c r="J1643" i="5"/>
  <c r="J2069" i="5"/>
  <c r="J2114" i="5"/>
  <c r="J2340" i="5"/>
  <c r="J1254" i="5"/>
  <c r="I1583" i="5"/>
  <c r="I1598" i="5"/>
  <c r="I1610" i="5"/>
  <c r="I1632" i="5"/>
  <c r="I1643" i="5"/>
  <c r="I1653" i="5"/>
  <c r="I1733" i="5"/>
  <c r="I1748" i="5"/>
  <c r="I1837" i="5"/>
  <c r="I1898" i="5"/>
  <c r="I1924" i="5"/>
  <c r="I1951" i="5"/>
  <c r="I1970" i="5"/>
  <c r="I2056" i="5"/>
  <c r="I2064" i="5"/>
  <c r="I2069" i="5"/>
  <c r="I2114" i="5"/>
  <c r="I2155" i="5"/>
  <c r="I2178" i="5"/>
  <c r="I2205" i="5"/>
  <c r="I2340" i="5"/>
  <c r="J2356" i="5"/>
  <c r="J2377" i="5"/>
  <c r="J1301" i="5"/>
  <c r="J1316" i="5"/>
  <c r="K800" i="6"/>
  <c r="K19" i="6"/>
  <c r="I1503" i="5"/>
  <c r="I1682" i="5"/>
  <c r="I1710" i="5"/>
  <c r="I1727" i="5"/>
  <c r="I929" i="5"/>
  <c r="I1357" i="5"/>
  <c r="I1372" i="5"/>
  <c r="J1771" i="5"/>
  <c r="J2301" i="5"/>
  <c r="N792" i="6"/>
  <c r="N784" i="6"/>
  <c r="N56" i="6"/>
  <c r="K796" i="6"/>
  <c r="I1481" i="5"/>
  <c r="I2045" i="5"/>
  <c r="K721" i="6"/>
  <c r="N34" i="6"/>
  <c r="M53" i="6"/>
  <c r="L796" i="6"/>
  <c r="L802" i="6" s="1"/>
  <c r="I784" i="5"/>
  <c r="I791" i="5" s="1"/>
  <c r="I912" i="5"/>
  <c r="I919" i="5"/>
  <c r="I950" i="5"/>
  <c r="I973" i="5"/>
  <c r="I1095" i="5"/>
  <c r="I1100" i="5"/>
  <c r="I1126" i="5"/>
  <c r="I1285" i="5"/>
  <c r="J1372" i="5"/>
  <c r="J1380" i="5"/>
  <c r="J1487" i="5"/>
  <c r="J1504" i="5" s="1"/>
  <c r="I1542" i="5"/>
  <c r="I1558" i="5"/>
  <c r="J1579" i="5"/>
  <c r="J1583" i="5"/>
  <c r="J1598" i="5"/>
  <c r="J1610" i="5"/>
  <c r="J1632" i="5"/>
  <c r="K1632" i="5" s="1"/>
  <c r="J1653" i="5"/>
  <c r="J1682" i="5"/>
  <c r="J1695" i="5"/>
  <c r="J1701" i="5"/>
  <c r="J1710" i="5"/>
  <c r="J1717" i="5"/>
  <c r="J1727" i="5"/>
  <c r="J1733" i="5"/>
  <c r="J1748" i="5"/>
  <c r="J1837" i="5"/>
  <c r="J1898" i="5"/>
  <c r="J1924" i="5"/>
  <c r="J1951" i="5"/>
  <c r="J1970" i="5"/>
  <c r="J2045" i="5"/>
  <c r="J2056" i="5"/>
  <c r="J2064" i="5"/>
  <c r="J2083" i="5"/>
  <c r="J2128" i="5"/>
  <c r="J2155" i="5"/>
  <c r="J2178" i="5"/>
  <c r="J2205" i="5"/>
  <c r="J2279" i="5"/>
  <c r="J2285" i="5"/>
  <c r="I2356" i="5"/>
  <c r="I2377" i="5"/>
  <c r="I2146" i="5"/>
  <c r="J2186" i="5"/>
  <c r="N794" i="6"/>
  <c r="N786" i="6"/>
  <c r="N36" i="6"/>
  <c r="L53" i="6"/>
  <c r="L63" i="6" s="1"/>
  <c r="N61" i="6"/>
  <c r="N799" i="6"/>
  <c r="N789" i="6"/>
  <c r="N18" i="6"/>
  <c r="J747" i="5"/>
  <c r="J763" i="5"/>
  <c r="J784" i="5"/>
  <c r="J791" i="5" s="1"/>
  <c r="J802" i="5"/>
  <c r="J814" i="5"/>
  <c r="J836" i="5"/>
  <c r="J846" i="5"/>
  <c r="J856" i="5"/>
  <c r="J886" i="5" s="1"/>
  <c r="J890" i="5"/>
  <c r="J898" i="5"/>
  <c r="J903" i="5"/>
  <c r="J912" i="5"/>
  <c r="J919" i="5"/>
  <c r="J929" i="5"/>
  <c r="J935" i="5"/>
  <c r="J950" i="5"/>
  <c r="J973" i="5"/>
  <c r="J1095" i="5"/>
  <c r="J1100" i="5"/>
  <c r="J1153" i="5"/>
  <c r="I1258" i="5"/>
  <c r="I1271" i="5"/>
  <c r="J1285" i="5"/>
  <c r="I1330" i="5"/>
  <c r="I1348" i="5"/>
  <c r="I1487" i="5"/>
  <c r="J1542" i="5"/>
  <c r="J1558" i="5"/>
  <c r="I1579" i="5"/>
  <c r="I1587" i="5" s="1"/>
  <c r="I1695" i="5"/>
  <c r="I1771" i="5"/>
  <c r="I1893" i="5"/>
  <c r="I2099" i="5"/>
  <c r="I2128" i="5"/>
  <c r="N798" i="6"/>
  <c r="M800" i="6"/>
  <c r="N788" i="6"/>
  <c r="N58" i="6"/>
  <c r="N39" i="6"/>
  <c r="N15" i="6"/>
  <c r="M19" i="6"/>
  <c r="N19" i="6" s="1"/>
  <c r="N791" i="6"/>
  <c r="N783" i="6"/>
  <c r="M796" i="6"/>
  <c r="N59" i="6"/>
  <c r="N25" i="6"/>
  <c r="M31" i="6"/>
  <c r="N31" i="6" s="1"/>
  <c r="K137" i="6"/>
  <c r="K625" i="6"/>
  <c r="J2302" i="5"/>
  <c r="J1481" i="5"/>
  <c r="I2279" i="5"/>
  <c r="I1388" i="5"/>
  <c r="I935" i="5"/>
  <c r="I1153" i="5"/>
  <c r="I1266" i="5"/>
  <c r="J1407" i="5"/>
  <c r="I1687" i="5"/>
  <c r="I1701" i="5"/>
  <c r="I1717" i="5"/>
  <c r="I1718" i="5" s="1"/>
  <c r="I2052" i="5"/>
  <c r="I2083" i="5"/>
  <c r="I2285" i="5"/>
  <c r="I2302" i="5" s="1"/>
  <c r="J707" i="5"/>
  <c r="I707" i="5"/>
  <c r="J706" i="5"/>
  <c r="I706" i="5"/>
  <c r="J705" i="5"/>
  <c r="I705" i="5"/>
  <c r="J704" i="5"/>
  <c r="I704" i="5"/>
  <c r="J703" i="5"/>
  <c r="I703" i="5"/>
  <c r="J702" i="5"/>
  <c r="I702" i="5"/>
  <c r="J700" i="5"/>
  <c r="I700" i="5"/>
  <c r="J699" i="5"/>
  <c r="I699" i="5"/>
  <c r="J698" i="5"/>
  <c r="I698" i="5"/>
  <c r="J697" i="5"/>
  <c r="I697" i="5"/>
  <c r="J696" i="5"/>
  <c r="I696" i="5"/>
  <c r="J695" i="5"/>
  <c r="I695" i="5"/>
  <c r="J691" i="5"/>
  <c r="I691" i="5"/>
  <c r="J690" i="5"/>
  <c r="I690" i="5"/>
  <c r="J689" i="5"/>
  <c r="I689" i="5"/>
  <c r="J685" i="5"/>
  <c r="I685" i="5"/>
  <c r="J683" i="5"/>
  <c r="I683" i="5"/>
  <c r="J682" i="5"/>
  <c r="I682" i="5"/>
  <c r="J681" i="5"/>
  <c r="I681" i="5"/>
  <c r="J680" i="5"/>
  <c r="I680" i="5"/>
  <c r="J679" i="5"/>
  <c r="I679" i="5"/>
  <c r="J678" i="5"/>
  <c r="I678" i="5"/>
  <c r="J677" i="5"/>
  <c r="I677" i="5"/>
  <c r="J675" i="5"/>
  <c r="I675" i="5"/>
  <c r="J674" i="5"/>
  <c r="I674" i="5"/>
  <c r="J673" i="5"/>
  <c r="I673" i="5"/>
  <c r="J672" i="5"/>
  <c r="I672" i="5"/>
  <c r="J671" i="5"/>
  <c r="I671" i="5"/>
  <c r="J670" i="5"/>
  <c r="I670" i="5"/>
  <c r="J669" i="5"/>
  <c r="I669" i="5"/>
  <c r="J668" i="5"/>
  <c r="I668" i="5"/>
  <c r="J667" i="5"/>
  <c r="I667" i="5"/>
  <c r="J666" i="5"/>
  <c r="I666" i="5"/>
  <c r="J665" i="5"/>
  <c r="I665" i="5"/>
  <c r="J664" i="5"/>
  <c r="I664" i="5"/>
  <c r="J663" i="5"/>
  <c r="I663" i="5"/>
  <c r="J662" i="5"/>
  <c r="I662" i="5"/>
  <c r="J661" i="5"/>
  <c r="I661" i="5"/>
  <c r="J659" i="5"/>
  <c r="I659" i="5"/>
  <c r="J658" i="5"/>
  <c r="I658" i="5"/>
  <c r="J657" i="5"/>
  <c r="I657" i="5"/>
  <c r="J656" i="5"/>
  <c r="I656" i="5"/>
  <c r="J655" i="5"/>
  <c r="I655" i="5"/>
  <c r="J654" i="5"/>
  <c r="I654" i="5"/>
  <c r="J652" i="5"/>
  <c r="I652" i="5"/>
  <c r="J650" i="5"/>
  <c r="I650" i="5"/>
  <c r="J648" i="5"/>
  <c r="I648" i="5"/>
  <c r="J646" i="5"/>
  <c r="I646" i="5"/>
  <c r="J645" i="5"/>
  <c r="I645" i="5"/>
  <c r="J642" i="5"/>
  <c r="I642" i="5"/>
  <c r="J641" i="5"/>
  <c r="I641" i="5"/>
  <c r="J640" i="5"/>
  <c r="I640" i="5"/>
  <c r="J639" i="5"/>
  <c r="I639" i="5"/>
  <c r="J638" i="5"/>
  <c r="I638" i="5"/>
  <c r="J637" i="5"/>
  <c r="I637" i="5"/>
  <c r="J636" i="5"/>
  <c r="I636" i="5"/>
  <c r="J635" i="5"/>
  <c r="I635" i="5"/>
  <c r="J633" i="5"/>
  <c r="I633" i="5"/>
  <c r="J632" i="5"/>
  <c r="I632" i="5"/>
  <c r="J630" i="5"/>
  <c r="I630" i="5"/>
  <c r="J629" i="5"/>
  <c r="I629" i="5"/>
  <c r="J628" i="5"/>
  <c r="I628" i="5"/>
  <c r="J627" i="5"/>
  <c r="I627" i="5"/>
  <c r="J625" i="5"/>
  <c r="I625" i="5"/>
  <c r="J624" i="5"/>
  <c r="I624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1" i="5"/>
  <c r="I611" i="5"/>
  <c r="J609" i="5"/>
  <c r="I609" i="5"/>
  <c r="J608" i="5"/>
  <c r="I608" i="5"/>
  <c r="J607" i="5"/>
  <c r="I607" i="5"/>
  <c r="J605" i="5"/>
  <c r="I605" i="5"/>
  <c r="J603" i="5"/>
  <c r="I603" i="5"/>
  <c r="J602" i="5"/>
  <c r="I602" i="5"/>
  <c r="J601" i="5"/>
  <c r="I601" i="5"/>
  <c r="J600" i="5"/>
  <c r="I600" i="5"/>
  <c r="J598" i="5"/>
  <c r="I598" i="5"/>
  <c r="J597" i="5"/>
  <c r="I597" i="5"/>
  <c r="J596" i="5"/>
  <c r="I596" i="5"/>
  <c r="J592" i="5"/>
  <c r="I592" i="5"/>
  <c r="J591" i="5"/>
  <c r="I591" i="5"/>
  <c r="J590" i="5"/>
  <c r="I590" i="5"/>
  <c r="J589" i="5"/>
  <c r="I589" i="5"/>
  <c r="J588" i="5"/>
  <c r="I588" i="5"/>
  <c r="J587" i="5"/>
  <c r="I587" i="5"/>
  <c r="J584" i="5"/>
  <c r="I584" i="5"/>
  <c r="J583" i="5"/>
  <c r="I583" i="5"/>
  <c r="J582" i="5"/>
  <c r="I582" i="5"/>
  <c r="J581" i="5"/>
  <c r="I581" i="5"/>
  <c r="J580" i="5"/>
  <c r="I580" i="5"/>
  <c r="J579" i="5"/>
  <c r="I579" i="5"/>
  <c r="J576" i="5"/>
  <c r="I576" i="5"/>
  <c r="J575" i="5"/>
  <c r="I575" i="5"/>
  <c r="J574" i="5"/>
  <c r="I574" i="5"/>
  <c r="J573" i="5"/>
  <c r="I573" i="5"/>
  <c r="J572" i="5"/>
  <c r="I572" i="5"/>
  <c r="J571" i="5"/>
  <c r="I571" i="5"/>
  <c r="J570" i="5"/>
  <c r="I570" i="5"/>
  <c r="J569" i="5"/>
  <c r="I569" i="5"/>
  <c r="J568" i="5"/>
  <c r="I568" i="5"/>
  <c r="J567" i="5"/>
  <c r="I567" i="5"/>
  <c r="J566" i="5"/>
  <c r="I566" i="5"/>
  <c r="J565" i="5"/>
  <c r="I565" i="5"/>
  <c r="J564" i="5"/>
  <c r="I564" i="5"/>
  <c r="J561" i="5"/>
  <c r="I561" i="5"/>
  <c r="J560" i="5"/>
  <c r="I560" i="5"/>
  <c r="J559" i="5"/>
  <c r="I559" i="5"/>
  <c r="J558" i="5"/>
  <c r="I558" i="5"/>
  <c r="J557" i="5"/>
  <c r="I557" i="5"/>
  <c r="J556" i="5"/>
  <c r="I556" i="5"/>
  <c r="J555" i="5"/>
  <c r="I555" i="5"/>
  <c r="J552" i="5"/>
  <c r="I552" i="5"/>
  <c r="J551" i="5"/>
  <c r="I551" i="5"/>
  <c r="J550" i="5"/>
  <c r="I550" i="5"/>
  <c r="J549" i="5"/>
  <c r="I549" i="5"/>
  <c r="J548" i="5"/>
  <c r="I548" i="5"/>
  <c r="J547" i="5"/>
  <c r="I547" i="5"/>
  <c r="J546" i="5"/>
  <c r="I546" i="5"/>
  <c r="J545" i="5"/>
  <c r="I545" i="5"/>
  <c r="J544" i="5"/>
  <c r="I544" i="5"/>
  <c r="J543" i="5"/>
  <c r="I543" i="5"/>
  <c r="J542" i="5"/>
  <c r="I542" i="5"/>
  <c r="J541" i="5"/>
  <c r="I541" i="5"/>
  <c r="J540" i="5"/>
  <c r="I540" i="5"/>
  <c r="J539" i="5"/>
  <c r="I539" i="5"/>
  <c r="J538" i="5"/>
  <c r="I538" i="5"/>
  <c r="J537" i="5"/>
  <c r="I537" i="5"/>
  <c r="J534" i="5"/>
  <c r="I534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J513" i="5"/>
  <c r="I513" i="5"/>
  <c r="J512" i="5"/>
  <c r="I512" i="5"/>
  <c r="J511" i="5"/>
  <c r="I511" i="5"/>
  <c r="J510" i="5"/>
  <c r="I510" i="5"/>
  <c r="J509" i="5"/>
  <c r="I509" i="5"/>
  <c r="J508" i="5"/>
  <c r="I508" i="5"/>
  <c r="J505" i="5"/>
  <c r="I505" i="5"/>
  <c r="J504" i="5"/>
  <c r="I504" i="5"/>
  <c r="J502" i="5"/>
  <c r="I502" i="5"/>
  <c r="J501" i="5"/>
  <c r="I501" i="5"/>
  <c r="J500" i="5"/>
  <c r="I500" i="5"/>
  <c r="J499" i="5"/>
  <c r="I499" i="5"/>
  <c r="J498" i="5"/>
  <c r="I498" i="5"/>
  <c r="J497" i="5"/>
  <c r="I497" i="5"/>
  <c r="J495" i="5"/>
  <c r="I495" i="5"/>
  <c r="J494" i="5"/>
  <c r="I494" i="5"/>
  <c r="J493" i="5"/>
  <c r="I493" i="5"/>
  <c r="J489" i="5"/>
  <c r="I489" i="5"/>
  <c r="J488" i="5"/>
  <c r="I488" i="5"/>
  <c r="J487" i="5"/>
  <c r="I487" i="5"/>
  <c r="J486" i="5"/>
  <c r="I486" i="5"/>
  <c r="J485" i="5"/>
  <c r="I485" i="5"/>
  <c r="J484" i="5"/>
  <c r="I484" i="5"/>
  <c r="J483" i="5"/>
  <c r="I483" i="5"/>
  <c r="J482" i="5"/>
  <c r="I482" i="5"/>
  <c r="J481" i="5"/>
  <c r="I481" i="5"/>
  <c r="J480" i="5"/>
  <c r="I480" i="5"/>
  <c r="J479" i="5"/>
  <c r="I479" i="5"/>
  <c r="J478" i="5"/>
  <c r="I478" i="5"/>
  <c r="J474" i="5"/>
  <c r="I474" i="5"/>
  <c r="J473" i="5"/>
  <c r="I473" i="5"/>
  <c r="J472" i="5"/>
  <c r="I472" i="5"/>
  <c r="J469" i="5"/>
  <c r="I469" i="5"/>
  <c r="J468" i="5"/>
  <c r="I468" i="5"/>
  <c r="J467" i="5"/>
  <c r="I467" i="5"/>
  <c r="J466" i="5"/>
  <c r="I466" i="5"/>
  <c r="J465" i="5"/>
  <c r="I465" i="5"/>
  <c r="J464" i="5"/>
  <c r="I464" i="5"/>
  <c r="J461" i="5"/>
  <c r="I461" i="5"/>
  <c r="J460" i="5"/>
  <c r="I460" i="5"/>
  <c r="J457" i="5"/>
  <c r="I457" i="5"/>
  <c r="J456" i="5"/>
  <c r="I456" i="5"/>
  <c r="J455" i="5"/>
  <c r="I455" i="5"/>
  <c r="J450" i="5"/>
  <c r="I450" i="5"/>
  <c r="J449" i="5"/>
  <c r="I449" i="5"/>
  <c r="J448" i="5"/>
  <c r="I448" i="5"/>
  <c r="J447" i="5"/>
  <c r="I447" i="5"/>
  <c r="J446" i="5"/>
  <c r="I446" i="5"/>
  <c r="J445" i="5"/>
  <c r="I445" i="5"/>
  <c r="J444" i="5"/>
  <c r="I444" i="5"/>
  <c r="J443" i="5"/>
  <c r="I443" i="5"/>
  <c r="J442" i="5"/>
  <c r="I442" i="5"/>
  <c r="J441" i="5"/>
  <c r="I441" i="5"/>
  <c r="J440" i="5"/>
  <c r="I440" i="5"/>
  <c r="J439" i="5"/>
  <c r="I439" i="5"/>
  <c r="J438" i="5"/>
  <c r="I438" i="5"/>
  <c r="J437" i="5"/>
  <c r="I437" i="5"/>
  <c r="J436" i="5"/>
  <c r="I436" i="5"/>
  <c r="J435" i="5"/>
  <c r="I435" i="5"/>
  <c r="J434" i="5"/>
  <c r="I434" i="5"/>
  <c r="J433" i="5"/>
  <c r="I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I415" i="5"/>
  <c r="J414" i="5"/>
  <c r="I414" i="5"/>
  <c r="J413" i="5"/>
  <c r="I413" i="5"/>
  <c r="J412" i="5"/>
  <c r="I412" i="5"/>
  <c r="J411" i="5"/>
  <c r="I411" i="5"/>
  <c r="J410" i="5"/>
  <c r="I410" i="5"/>
  <c r="J409" i="5"/>
  <c r="I409" i="5"/>
  <c r="J408" i="5"/>
  <c r="I408" i="5"/>
  <c r="J407" i="5"/>
  <c r="I407" i="5"/>
  <c r="J406" i="5"/>
  <c r="I406" i="5"/>
  <c r="J405" i="5"/>
  <c r="I405" i="5"/>
  <c r="J404" i="5"/>
  <c r="I404" i="5"/>
  <c r="J403" i="5"/>
  <c r="I403" i="5"/>
  <c r="J402" i="5"/>
  <c r="I402" i="5"/>
  <c r="J401" i="5"/>
  <c r="I401" i="5"/>
  <c r="J400" i="5"/>
  <c r="I400" i="5"/>
  <c r="J399" i="5"/>
  <c r="I399" i="5"/>
  <c r="J398" i="5"/>
  <c r="I398" i="5"/>
  <c r="J397" i="5"/>
  <c r="I397" i="5"/>
  <c r="J396" i="5"/>
  <c r="I396" i="5"/>
  <c r="J395" i="5"/>
  <c r="I395" i="5"/>
  <c r="J394" i="5"/>
  <c r="I394" i="5"/>
  <c r="J393" i="5"/>
  <c r="I393" i="5"/>
  <c r="J392" i="5"/>
  <c r="I392" i="5"/>
  <c r="J391" i="5"/>
  <c r="I391" i="5"/>
  <c r="J390" i="5"/>
  <c r="I390" i="5"/>
  <c r="J389" i="5"/>
  <c r="I389" i="5"/>
  <c r="J388" i="5"/>
  <c r="I388" i="5"/>
  <c r="J387" i="5"/>
  <c r="I387" i="5"/>
  <c r="J386" i="5"/>
  <c r="I386" i="5"/>
  <c r="J385" i="5"/>
  <c r="I385" i="5"/>
  <c r="J384" i="5"/>
  <c r="I384" i="5"/>
  <c r="J383" i="5"/>
  <c r="I383" i="5"/>
  <c r="J382" i="5"/>
  <c r="I382" i="5"/>
  <c r="J381" i="5"/>
  <c r="I381" i="5"/>
  <c r="J380" i="5"/>
  <c r="I380" i="5"/>
  <c r="J379" i="5"/>
  <c r="I379" i="5"/>
  <c r="J375" i="5"/>
  <c r="I375" i="5"/>
  <c r="J374" i="5"/>
  <c r="I374" i="5"/>
  <c r="J372" i="5"/>
  <c r="I372" i="5"/>
  <c r="J370" i="5"/>
  <c r="I370" i="5"/>
  <c r="J369" i="5"/>
  <c r="I369" i="5"/>
  <c r="J367" i="5"/>
  <c r="I367" i="5"/>
  <c r="J366" i="5"/>
  <c r="I366" i="5"/>
  <c r="J365" i="5"/>
  <c r="I365" i="5"/>
  <c r="J364" i="5"/>
  <c r="I364" i="5"/>
  <c r="J363" i="5"/>
  <c r="I363" i="5"/>
  <c r="J361" i="5"/>
  <c r="I361" i="5"/>
  <c r="J360" i="5"/>
  <c r="I360" i="5"/>
  <c r="J356" i="5"/>
  <c r="I356" i="5"/>
  <c r="J355" i="5"/>
  <c r="J353" i="5"/>
  <c r="I353" i="5"/>
  <c r="J352" i="5"/>
  <c r="I352" i="5"/>
  <c r="J351" i="5"/>
  <c r="I351" i="5"/>
  <c r="J350" i="5"/>
  <c r="I350" i="5"/>
  <c r="J349" i="5"/>
  <c r="I349" i="5"/>
  <c r="J348" i="5"/>
  <c r="I348" i="5"/>
  <c r="J347" i="5"/>
  <c r="I347" i="5"/>
  <c r="J345" i="5"/>
  <c r="I345" i="5"/>
  <c r="J344" i="5"/>
  <c r="I344" i="5"/>
  <c r="J342" i="5"/>
  <c r="I342" i="5"/>
  <c r="J341" i="5"/>
  <c r="I341" i="5"/>
  <c r="J339" i="5"/>
  <c r="I339" i="5"/>
  <c r="J338" i="5"/>
  <c r="I338" i="5"/>
  <c r="J337" i="5"/>
  <c r="I337" i="5"/>
  <c r="J336" i="5"/>
  <c r="I336" i="5"/>
  <c r="J335" i="5"/>
  <c r="I335" i="5"/>
  <c r="J334" i="5"/>
  <c r="I334" i="5"/>
  <c r="J329" i="5"/>
  <c r="I329" i="5"/>
  <c r="J327" i="5"/>
  <c r="I327" i="5"/>
  <c r="J326" i="5"/>
  <c r="I326" i="5"/>
  <c r="J324" i="5"/>
  <c r="I324" i="5"/>
  <c r="J323" i="5"/>
  <c r="I323" i="5"/>
  <c r="J322" i="5"/>
  <c r="I322" i="5"/>
  <c r="J320" i="5"/>
  <c r="I320" i="5"/>
  <c r="J319" i="5"/>
  <c r="I319" i="5"/>
  <c r="J317" i="5"/>
  <c r="I317" i="5"/>
  <c r="J316" i="5"/>
  <c r="I316" i="5"/>
  <c r="J315" i="5"/>
  <c r="I315" i="5"/>
  <c r="J314" i="5"/>
  <c r="I314" i="5"/>
  <c r="J312" i="5"/>
  <c r="I312" i="5"/>
  <c r="J310" i="5"/>
  <c r="I310" i="5"/>
  <c r="J309" i="5"/>
  <c r="I309" i="5"/>
  <c r="J308" i="5"/>
  <c r="I308" i="5"/>
  <c r="J307" i="5"/>
  <c r="I307" i="5"/>
  <c r="J303" i="5"/>
  <c r="I303" i="5"/>
  <c r="J302" i="5"/>
  <c r="I302" i="5"/>
  <c r="J301" i="5"/>
  <c r="I301" i="5"/>
  <c r="J298" i="5"/>
  <c r="I298" i="5"/>
  <c r="J297" i="5"/>
  <c r="I297" i="5"/>
  <c r="J296" i="5"/>
  <c r="I296" i="5"/>
  <c r="J295" i="5"/>
  <c r="I295" i="5"/>
  <c r="J294" i="5"/>
  <c r="I294" i="5"/>
  <c r="J293" i="5"/>
  <c r="I293" i="5"/>
  <c r="J292" i="5"/>
  <c r="I292" i="5"/>
  <c r="J291" i="5"/>
  <c r="I291" i="5"/>
  <c r="J290" i="5"/>
  <c r="I290" i="5"/>
  <c r="J289" i="5"/>
  <c r="I289" i="5"/>
  <c r="J288" i="5"/>
  <c r="I288" i="5"/>
  <c r="J287" i="5"/>
  <c r="I287" i="5"/>
  <c r="J286" i="5"/>
  <c r="I286" i="5"/>
  <c r="J285" i="5"/>
  <c r="I285" i="5"/>
  <c r="J284" i="5"/>
  <c r="I284" i="5"/>
  <c r="J283" i="5"/>
  <c r="I283" i="5"/>
  <c r="J282" i="5"/>
  <c r="I282" i="5"/>
  <c r="J281" i="5"/>
  <c r="I281" i="5"/>
  <c r="J280" i="5"/>
  <c r="I280" i="5"/>
  <c r="J279" i="5"/>
  <c r="I279" i="5"/>
  <c r="J278" i="5"/>
  <c r="I278" i="5"/>
  <c r="J277" i="5"/>
  <c r="I277" i="5"/>
  <c r="J276" i="5"/>
  <c r="I276" i="5"/>
  <c r="J275" i="5"/>
  <c r="I275" i="5"/>
  <c r="J274" i="5"/>
  <c r="I274" i="5"/>
  <c r="J273" i="5"/>
  <c r="I273" i="5"/>
  <c r="J272" i="5"/>
  <c r="I272" i="5"/>
  <c r="J271" i="5"/>
  <c r="I271" i="5"/>
  <c r="J270" i="5"/>
  <c r="I270" i="5"/>
  <c r="J269" i="5"/>
  <c r="I269" i="5"/>
  <c r="J268" i="5"/>
  <c r="I268" i="5"/>
  <c r="J267" i="5"/>
  <c r="I267" i="5"/>
  <c r="J266" i="5"/>
  <c r="I266" i="5"/>
  <c r="J265" i="5"/>
  <c r="I265" i="5"/>
  <c r="J264" i="5"/>
  <c r="I264" i="5"/>
  <c r="J263" i="5"/>
  <c r="I263" i="5"/>
  <c r="J262" i="5"/>
  <c r="I262" i="5"/>
  <c r="J261" i="5"/>
  <c r="I261" i="5"/>
  <c r="J260" i="5"/>
  <c r="I260" i="5"/>
  <c r="J259" i="5"/>
  <c r="I259" i="5"/>
  <c r="J258" i="5"/>
  <c r="I258" i="5"/>
  <c r="J257" i="5"/>
  <c r="I257" i="5"/>
  <c r="J256" i="5"/>
  <c r="I256" i="5"/>
  <c r="J255" i="5"/>
  <c r="I255" i="5"/>
  <c r="J254" i="5"/>
  <c r="I254" i="5"/>
  <c r="J253" i="5"/>
  <c r="I253" i="5"/>
  <c r="J252" i="5"/>
  <c r="I252" i="5"/>
  <c r="J251" i="5"/>
  <c r="I251" i="5"/>
  <c r="J250" i="5"/>
  <c r="I250" i="5"/>
  <c r="J249" i="5"/>
  <c r="I249" i="5"/>
  <c r="J248" i="5"/>
  <c r="I248" i="5"/>
  <c r="J247" i="5"/>
  <c r="I247" i="5"/>
  <c r="J246" i="5"/>
  <c r="I246" i="5"/>
  <c r="J245" i="5"/>
  <c r="I245" i="5"/>
  <c r="J242" i="5"/>
  <c r="I242" i="5"/>
  <c r="J241" i="5"/>
  <c r="I241" i="5"/>
  <c r="J240" i="5"/>
  <c r="I240" i="5"/>
  <c r="J238" i="5"/>
  <c r="I238" i="5"/>
  <c r="J237" i="5"/>
  <c r="I237" i="5"/>
  <c r="J236" i="5"/>
  <c r="I236" i="5"/>
  <c r="J235" i="5"/>
  <c r="I235" i="5"/>
  <c r="J233" i="5"/>
  <c r="I233" i="5"/>
  <c r="J232" i="5"/>
  <c r="I232" i="5"/>
  <c r="J231" i="5"/>
  <c r="I231" i="5"/>
  <c r="J230" i="5"/>
  <c r="I230" i="5"/>
  <c r="J229" i="5"/>
  <c r="I229" i="5"/>
  <c r="J228" i="5"/>
  <c r="I228" i="5"/>
  <c r="J227" i="5"/>
  <c r="I227" i="5"/>
  <c r="J226" i="5"/>
  <c r="I226" i="5"/>
  <c r="J225" i="5"/>
  <c r="I225" i="5"/>
  <c r="J224" i="5"/>
  <c r="I224" i="5"/>
  <c r="J223" i="5"/>
  <c r="I223" i="5"/>
  <c r="J221" i="5"/>
  <c r="I221" i="5"/>
  <c r="J220" i="5"/>
  <c r="I220" i="5"/>
  <c r="J219" i="5"/>
  <c r="I219" i="5"/>
  <c r="J218" i="5"/>
  <c r="I218" i="5"/>
  <c r="J217" i="5"/>
  <c r="I217" i="5"/>
  <c r="J216" i="5"/>
  <c r="I216" i="5"/>
  <c r="J214" i="5"/>
  <c r="I214" i="5"/>
  <c r="J213" i="5"/>
  <c r="I213" i="5"/>
  <c r="J212" i="5"/>
  <c r="I212" i="5"/>
  <c r="J211" i="5"/>
  <c r="I211" i="5"/>
  <c r="J210" i="5"/>
  <c r="I210" i="5"/>
  <c r="J209" i="5"/>
  <c r="I209" i="5"/>
  <c r="J208" i="5"/>
  <c r="I208" i="5"/>
  <c r="J207" i="5"/>
  <c r="I207" i="5"/>
  <c r="J206" i="5"/>
  <c r="I206" i="5"/>
  <c r="J205" i="5"/>
  <c r="I205" i="5"/>
  <c r="J204" i="5"/>
  <c r="I204" i="5"/>
  <c r="J202" i="5"/>
  <c r="I202" i="5"/>
  <c r="J201" i="5"/>
  <c r="I201" i="5"/>
  <c r="J200" i="5"/>
  <c r="I200" i="5"/>
  <c r="J199" i="5"/>
  <c r="I199" i="5"/>
  <c r="J198" i="5"/>
  <c r="I198" i="5"/>
  <c r="J197" i="5"/>
  <c r="I197" i="5"/>
  <c r="J196" i="5"/>
  <c r="I196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5" i="5"/>
  <c r="I185" i="5"/>
  <c r="J184" i="5"/>
  <c r="I184" i="5"/>
  <c r="J183" i="5"/>
  <c r="I183" i="5"/>
  <c r="J182" i="5"/>
  <c r="I182" i="5"/>
  <c r="J181" i="5"/>
  <c r="I181" i="5"/>
  <c r="J176" i="5"/>
  <c r="I176" i="5"/>
  <c r="J175" i="5"/>
  <c r="I175" i="5"/>
  <c r="J174" i="5"/>
  <c r="I174" i="5"/>
  <c r="J173" i="5"/>
  <c r="I173" i="5"/>
  <c r="J172" i="5"/>
  <c r="I172" i="5"/>
  <c r="J171" i="5"/>
  <c r="I171" i="5"/>
  <c r="J170" i="5"/>
  <c r="I170" i="5"/>
  <c r="J169" i="5"/>
  <c r="I169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3" i="5"/>
  <c r="I153" i="5"/>
  <c r="J152" i="5"/>
  <c r="I152" i="5"/>
  <c r="J151" i="5"/>
  <c r="I151" i="5"/>
  <c r="J149" i="5"/>
  <c r="I149" i="5"/>
  <c r="J148" i="5"/>
  <c r="I148" i="5"/>
  <c r="J146" i="5"/>
  <c r="I146" i="5"/>
  <c r="J144" i="5"/>
  <c r="I144" i="5"/>
  <c r="J143" i="5"/>
  <c r="I143" i="5"/>
  <c r="J142" i="5"/>
  <c r="I142" i="5"/>
  <c r="J138" i="5"/>
  <c r="I138" i="5"/>
  <c r="J137" i="5"/>
  <c r="I137" i="5"/>
  <c r="J136" i="5"/>
  <c r="I136" i="5"/>
  <c r="J135" i="5"/>
  <c r="I135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2" i="5"/>
  <c r="I122" i="5"/>
  <c r="J121" i="5"/>
  <c r="I121" i="5"/>
  <c r="J120" i="5"/>
  <c r="I120" i="5"/>
  <c r="J119" i="5"/>
  <c r="I119" i="5"/>
  <c r="J115" i="5"/>
  <c r="I115" i="5"/>
  <c r="J113" i="5"/>
  <c r="I113" i="5"/>
  <c r="J112" i="5"/>
  <c r="I112" i="5"/>
  <c r="J111" i="5"/>
  <c r="I111" i="5"/>
  <c r="J106" i="5"/>
  <c r="I106" i="5"/>
  <c r="J105" i="5"/>
  <c r="I105" i="5"/>
  <c r="J104" i="5"/>
  <c r="I104" i="5"/>
  <c r="J103" i="5"/>
  <c r="I103" i="5"/>
  <c r="J100" i="5"/>
  <c r="I100" i="5"/>
  <c r="J99" i="5"/>
  <c r="I99" i="5"/>
  <c r="J98" i="5"/>
  <c r="I98" i="5"/>
  <c r="J97" i="5"/>
  <c r="I97" i="5"/>
  <c r="J96" i="5"/>
  <c r="I96" i="5"/>
  <c r="J95" i="5"/>
  <c r="I95" i="5"/>
  <c r="J92" i="5"/>
  <c r="I92" i="5"/>
  <c r="J91" i="5"/>
  <c r="I91" i="5"/>
  <c r="J87" i="5"/>
  <c r="I87" i="5"/>
  <c r="J86" i="5"/>
  <c r="I86" i="5"/>
  <c r="J85" i="5"/>
  <c r="I85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2" i="5"/>
  <c r="I62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38" i="5"/>
  <c r="I38" i="5"/>
  <c r="J37" i="5"/>
  <c r="I37" i="5"/>
  <c r="J36" i="5"/>
  <c r="I36" i="5"/>
  <c r="J35" i="5"/>
  <c r="I35" i="5"/>
  <c r="J33" i="5"/>
  <c r="I33" i="5"/>
  <c r="J32" i="5"/>
  <c r="I32" i="5"/>
  <c r="J31" i="5"/>
  <c r="I31" i="5"/>
  <c r="J30" i="5"/>
  <c r="I30" i="5"/>
  <c r="J28" i="5"/>
  <c r="I28" i="5"/>
  <c r="J27" i="5"/>
  <c r="I27" i="5"/>
  <c r="J26" i="5"/>
  <c r="I26" i="5"/>
  <c r="J25" i="5"/>
  <c r="I25" i="5"/>
  <c r="J23" i="5"/>
  <c r="I23" i="5"/>
  <c r="J22" i="5"/>
  <c r="I22" i="5"/>
  <c r="J21" i="5"/>
  <c r="I21" i="5"/>
  <c r="J20" i="5"/>
  <c r="I20" i="5"/>
  <c r="J16" i="5"/>
  <c r="I16" i="5"/>
  <c r="J15" i="5"/>
  <c r="I15" i="5"/>
  <c r="J14" i="5"/>
  <c r="I14" i="5"/>
  <c r="J13" i="5"/>
  <c r="I13" i="5"/>
  <c r="J7" i="5"/>
  <c r="J8" i="5"/>
  <c r="J9" i="5"/>
  <c r="I7" i="5"/>
  <c r="I8" i="5"/>
  <c r="I9" i="5"/>
  <c r="J6" i="5"/>
  <c r="I6" i="5"/>
  <c r="J920" i="5" l="1"/>
  <c r="J1587" i="5"/>
  <c r="I1504" i="5"/>
  <c r="I39" i="5"/>
  <c r="I49" i="5"/>
  <c r="I59" i="5"/>
  <c r="I88" i="5"/>
  <c r="I93" i="5"/>
  <c r="I101" i="5"/>
  <c r="I886" i="5"/>
  <c r="I1683" i="5"/>
  <c r="K802" i="6"/>
  <c r="I17" i="5"/>
  <c r="J1408" i="5"/>
  <c r="J2206" i="5"/>
  <c r="J1718" i="5"/>
  <c r="I2206" i="5"/>
  <c r="I116" i="5"/>
  <c r="I123" i="5"/>
  <c r="I133" i="5"/>
  <c r="I154" i="5"/>
  <c r="J458" i="5"/>
  <c r="J462" i="5"/>
  <c r="J521" i="5"/>
  <c r="J577" i="5"/>
  <c r="J692" i="5"/>
  <c r="L803" i="6"/>
  <c r="I11" i="6" s="1"/>
  <c r="J116" i="5"/>
  <c r="J139" i="5"/>
  <c r="J154" i="5"/>
  <c r="J243" i="5"/>
  <c r="J304" i="5"/>
  <c r="I458" i="5"/>
  <c r="I462" i="5"/>
  <c r="I521" i="5"/>
  <c r="I577" i="5"/>
  <c r="I692" i="5"/>
  <c r="N796" i="6"/>
  <c r="I357" i="5"/>
  <c r="N800" i="6"/>
  <c r="M802" i="6"/>
  <c r="N53" i="6"/>
  <c r="M63" i="6"/>
  <c r="N63" i="6" s="1"/>
  <c r="J17" i="5"/>
  <c r="J39" i="5"/>
  <c r="J49" i="5"/>
  <c r="J123" i="5"/>
  <c r="J124" i="5" s="1"/>
  <c r="I376" i="5"/>
  <c r="I451" i="5"/>
  <c r="I470" i="5"/>
  <c r="I475" i="5"/>
  <c r="I490" i="5"/>
  <c r="I506" i="5"/>
  <c r="I535" i="5"/>
  <c r="I553" i="5"/>
  <c r="I562" i="5"/>
  <c r="I585" i="5"/>
  <c r="I593" i="5"/>
  <c r="I612" i="5"/>
  <c r="I708" i="5"/>
  <c r="I1408" i="5"/>
  <c r="I920" i="5"/>
  <c r="I10" i="5"/>
  <c r="J10" i="5"/>
  <c r="I243" i="5"/>
  <c r="I304" i="5"/>
  <c r="J470" i="5"/>
  <c r="J475" i="5"/>
  <c r="J490" i="5"/>
  <c r="J506" i="5"/>
  <c r="J535" i="5"/>
  <c r="J553" i="5"/>
  <c r="J562" i="5"/>
  <c r="J585" i="5"/>
  <c r="J593" i="5"/>
  <c r="J612" i="5"/>
  <c r="J708" i="5"/>
  <c r="J1683" i="5"/>
  <c r="J2378" i="5" s="1"/>
  <c r="K803" i="6"/>
  <c r="I709" i="5"/>
  <c r="I2378" i="5"/>
  <c r="J1588" i="5"/>
  <c r="J357" i="5"/>
  <c r="I107" i="5"/>
  <c r="J88" i="5"/>
  <c r="J93" i="5"/>
  <c r="J101" i="5"/>
  <c r="J107" i="5"/>
  <c r="K107" i="5" s="1"/>
  <c r="J133" i="5"/>
  <c r="I177" i="5"/>
  <c r="I299" i="5"/>
  <c r="I330" i="5"/>
  <c r="J376" i="5"/>
  <c r="J451" i="5"/>
  <c r="I686" i="5"/>
  <c r="J59" i="5"/>
  <c r="I139" i="5"/>
  <c r="J177" i="5"/>
  <c r="J299" i="5"/>
  <c r="J330" i="5"/>
  <c r="J686" i="5"/>
  <c r="I1588" i="5" l="1"/>
  <c r="I89" i="5"/>
  <c r="J89" i="5"/>
  <c r="J709" i="5"/>
  <c r="J613" i="5"/>
  <c r="Q12" i="6"/>
  <c r="I10" i="6"/>
  <c r="I613" i="5"/>
  <c r="I124" i="5"/>
  <c r="N802" i="6"/>
  <c r="M803" i="6"/>
  <c r="N803" i="6"/>
  <c r="J136" i="6"/>
  <c r="J167" i="6" l="1"/>
  <c r="J464" i="6" l="1"/>
  <c r="J471" i="6" l="1"/>
  <c r="J574" i="6"/>
  <c r="J589" i="6"/>
  <c r="J597" i="6"/>
  <c r="J605" i="6"/>
  <c r="J624" i="6"/>
  <c r="J475" i="6"/>
  <c r="J483" i="6"/>
  <c r="J488" i="6"/>
  <c r="J502" i="6"/>
  <c r="J518" i="6"/>
  <c r="J533" i="6"/>
  <c r="J547" i="6"/>
  <c r="J565" i="6"/>
  <c r="J704" i="6"/>
  <c r="J720" i="6"/>
  <c r="J779" i="6"/>
  <c r="J796" i="6"/>
  <c r="J800" i="6"/>
  <c r="J73" i="6"/>
  <c r="J102" i="6"/>
  <c r="J129" i="6"/>
  <c r="J137" i="6" s="1"/>
  <c r="J625" i="6" l="1"/>
  <c r="J103" i="6"/>
  <c r="J802" i="6"/>
  <c r="J721" i="6"/>
  <c r="J803" i="6" l="1"/>
  <c r="M59" i="8"/>
  <c r="M61" i="8" s="1"/>
  <c r="N59" i="8"/>
  <c r="N61" i="8" l="1"/>
  <c r="O59" i="8"/>
  <c r="O61" i="8" s="1"/>
  <c r="P59" i="8"/>
  <c r="K59" i="8"/>
  <c r="Q61" i="8" l="1"/>
  <c r="P61" i="8"/>
  <c r="N157" i="8"/>
  <c r="M157" i="8"/>
  <c r="M165" i="8" s="1"/>
  <c r="M819" i="8" s="1"/>
  <c r="I6" i="8" l="1"/>
  <c r="K6" i="8" s="1"/>
  <c r="P819" i="8"/>
  <c r="P157" i="8"/>
  <c r="O157" i="8"/>
  <c r="O165" i="8" s="1"/>
  <c r="O819" i="8" s="1"/>
  <c r="N165" i="8"/>
  <c r="K157" i="8"/>
  <c r="P165" i="8" l="1"/>
  <c r="N819" i="8"/>
  <c r="Q819" i="8" l="1"/>
  <c r="I7" i="8"/>
  <c r="K7" i="8" l="1"/>
  <c r="I8" i="8"/>
</calcChain>
</file>

<file path=xl/sharedStrings.xml><?xml version="1.0" encoding="utf-8"?>
<sst xmlns="http://schemas.openxmlformats.org/spreadsheetml/2006/main" count="12882" uniqueCount="1405">
  <si>
    <t>CRECHE PROINFÂNCIA TIPO B</t>
  </si>
  <si>
    <t>BAIRRO: BARREIRAS I</t>
  </si>
  <si>
    <t>OBRA SIMEC ID</t>
  </si>
  <si>
    <t>BDI:</t>
  </si>
  <si>
    <t>ITEM</t>
  </si>
  <si>
    <t>DESCRIÇÃO DOS SERVIÇOS</t>
  </si>
  <si>
    <t>UNID.</t>
  </si>
  <si>
    <t>QUANT.</t>
  </si>
  <si>
    <t>1.0</t>
  </si>
  <si>
    <t>SERVIÇOS PRELIMINARES</t>
  </si>
  <si>
    <t>1.1</t>
  </si>
  <si>
    <t>CANTEIRO DE OBRAS</t>
  </si>
  <si>
    <t>1.1.1</t>
  </si>
  <si>
    <t>Barracão para escritório de obra</t>
  </si>
  <si>
    <t>m²</t>
  </si>
  <si>
    <t>74209/001</t>
  </si>
  <si>
    <t>1.1.2</t>
  </si>
  <si>
    <t>Placa de obra em chapa zincada, conforme modelo do Governo Federal</t>
  </si>
  <si>
    <t>1.1.3</t>
  </si>
  <si>
    <t>Tapume em chapa de madeira compensada,  E= 10 mm, com pintura a cal  e reaproveitamento de 2X</t>
  </si>
  <si>
    <t>74077/003</t>
  </si>
  <si>
    <t>1.1.4</t>
  </si>
  <si>
    <t>Locação da obra</t>
  </si>
  <si>
    <t>m2</t>
  </si>
  <si>
    <t>Subtotal item 1</t>
  </si>
  <si>
    <t>2.0</t>
  </si>
  <si>
    <t>FUNDAÇÕES E ESTRUTURAS</t>
  </si>
  <si>
    <t>2.1</t>
  </si>
  <si>
    <t>Fundação Castelo d'água - Estacas</t>
  </si>
  <si>
    <t>2.1.1</t>
  </si>
  <si>
    <t>Concreto 25 Mpa</t>
  </si>
  <si>
    <t>2.1.2</t>
  </si>
  <si>
    <t>Lançamento com uso de baldes, adensamento e acabamento de concreto em estruturas</t>
  </si>
  <si>
    <t>2.1.3</t>
  </si>
  <si>
    <t>Aço</t>
  </si>
  <si>
    <t>kg</t>
  </si>
  <si>
    <t>2.1.4</t>
  </si>
  <si>
    <t>Escavação manual para bloco de coroamento ou sapata, com previsão de fôrma.</t>
  </si>
  <si>
    <t>Subtotal item 2</t>
  </si>
  <si>
    <t>3.0</t>
  </si>
  <si>
    <t>ESTRUTURAS DE CONCRETO</t>
  </si>
  <si>
    <t>3.1</t>
  </si>
  <si>
    <t>Pilares</t>
  </si>
  <si>
    <t>3.1.1</t>
  </si>
  <si>
    <t>Formas</t>
  </si>
  <si>
    <t>3.1.2</t>
  </si>
  <si>
    <t>Armadura</t>
  </si>
  <si>
    <t>3.1.3</t>
  </si>
  <si>
    <t>m³</t>
  </si>
  <si>
    <t>3.1.4</t>
  </si>
  <si>
    <t>3.2</t>
  </si>
  <si>
    <t>Vigas</t>
  </si>
  <si>
    <t>3.2.1</t>
  </si>
  <si>
    <t>3.2.2</t>
  </si>
  <si>
    <t>3.2.3</t>
  </si>
  <si>
    <t>3.2.4</t>
  </si>
  <si>
    <t>3.3</t>
  </si>
  <si>
    <t>Lajes</t>
  </si>
  <si>
    <t>74202/002</t>
  </si>
  <si>
    <t>3.3.1</t>
  </si>
  <si>
    <t>Lajes Pré Fabricadas: fornecimento,  montagem e escoramento</t>
  </si>
  <si>
    <t>3.3.2</t>
  </si>
  <si>
    <t>Armadura Complementar</t>
  </si>
  <si>
    <t>3.3.3</t>
  </si>
  <si>
    <t>3.3.4</t>
  </si>
  <si>
    <t>3.4</t>
  </si>
  <si>
    <t>Caixas d'água</t>
  </si>
  <si>
    <t>3.4.1</t>
  </si>
  <si>
    <t>3.4.2</t>
  </si>
  <si>
    <t>3.4.3</t>
  </si>
  <si>
    <t>3.4.4</t>
  </si>
  <si>
    <t>Subtotal item 3</t>
  </si>
  <si>
    <t>4.0</t>
  </si>
  <si>
    <t>PAREDES E DIVISÓRIAS</t>
  </si>
  <si>
    <t>4.1</t>
  </si>
  <si>
    <t>Alvenaria de bloco cerâmico</t>
  </si>
  <si>
    <t>4.1.1</t>
  </si>
  <si>
    <t>Levante de alvenaria de bloco cerâmico, espessura de 14 cm</t>
  </si>
  <si>
    <t>Composição</t>
  </si>
  <si>
    <t>4.1.2</t>
  </si>
  <si>
    <t>Aperto de alvenaria de bloco cerâmico, espessura de 14 cm</t>
  </si>
  <si>
    <t>m</t>
  </si>
  <si>
    <t>00171/ORSE</t>
  </si>
  <si>
    <t>4.1.3</t>
  </si>
  <si>
    <t>Alvenaria de elementos vazados de concreto (cobogós), dimensões de 20 x 20 cm.</t>
  </si>
  <si>
    <t>73909/001</t>
  </si>
  <si>
    <t>4.1.4</t>
  </si>
  <si>
    <t>Divisórias em madeira com laminado com portas de 80x210cm</t>
  </si>
  <si>
    <t>00191/ORSE</t>
  </si>
  <si>
    <t>4.1.5</t>
  </si>
  <si>
    <t>Divisória em granito cinza andorinha polido, e=2cm, inclusive montagem com ferragens</t>
  </si>
  <si>
    <t>4.1.6</t>
  </si>
  <si>
    <t>Vergas contínuas no perímetro das edificações</t>
  </si>
  <si>
    <t>4.1.7</t>
  </si>
  <si>
    <t>Vergas e contravergas embutidas nas paredes</t>
  </si>
  <si>
    <t>Sub-total item 4</t>
  </si>
  <si>
    <t>5.0</t>
  </si>
  <si>
    <t>ESQUADRIAS</t>
  </si>
  <si>
    <t>5.1</t>
  </si>
  <si>
    <t>Portas em madeira</t>
  </si>
  <si>
    <t>5.1.1</t>
  </si>
  <si>
    <t>PM-2 - porta comum 80 x 210 cm</t>
  </si>
  <si>
    <t>un</t>
  </si>
  <si>
    <t>5.1.2</t>
  </si>
  <si>
    <t>PM-3 - porta com barra de proteção 80 x 210 cm</t>
  </si>
  <si>
    <t>5.1.3</t>
  </si>
  <si>
    <t>PM-04a - porta comum p/ divisórias de granito 60 x 180 cm</t>
  </si>
  <si>
    <t>5.1.4</t>
  </si>
  <si>
    <t>PM-04b - porta comum p/ divisórias de granito 60 x 60 cm e guiches</t>
  </si>
  <si>
    <t>5.1.5</t>
  </si>
  <si>
    <t>PM-6 - porta comum 60 x 210 cm</t>
  </si>
  <si>
    <t>5.1.6</t>
  </si>
  <si>
    <t>PM-7 - porta com visor 80 x 210 cm</t>
  </si>
  <si>
    <t>5.1.7</t>
  </si>
  <si>
    <t>PM-8 - porta com veneziana 80 x 210 cm</t>
  </si>
  <si>
    <t>Sub-total item 5.1</t>
  </si>
  <si>
    <t>5.2</t>
  </si>
  <si>
    <t>Esquadria Metálica</t>
  </si>
  <si>
    <t>5.2.1</t>
  </si>
  <si>
    <t>Portas</t>
  </si>
  <si>
    <t>73933/003</t>
  </si>
  <si>
    <t>5.2.1.1</t>
  </si>
  <si>
    <t>Portas metálica  80x80cm veneziana  (Castelo D'água)</t>
  </si>
  <si>
    <t>5.2.2</t>
  </si>
  <si>
    <t>Janelas</t>
  </si>
  <si>
    <t>5.2.2.1</t>
  </si>
  <si>
    <t>EF-10 pivotante 120 x 30 cm</t>
  </si>
  <si>
    <t>5.2.2.2</t>
  </si>
  <si>
    <t>EF-11 pivotante 180 x 30 cm</t>
  </si>
  <si>
    <t>5.2.2.3</t>
  </si>
  <si>
    <t>EF-12 pivotante 90 x 30 cm</t>
  </si>
  <si>
    <t>5.2.2.4</t>
  </si>
  <si>
    <t>EF-13 pivotante 210 x 30 cm</t>
  </si>
  <si>
    <t>5.2.2.5</t>
  </si>
  <si>
    <t>EF-14 pivotante 210 x 60 cm</t>
  </si>
  <si>
    <t>5.2.2.6</t>
  </si>
  <si>
    <t>EF-15 pivotante 240 x 30 cm</t>
  </si>
  <si>
    <t>5.2.2.7</t>
  </si>
  <si>
    <t>EF-16 pivotante 300 x 30 cm</t>
  </si>
  <si>
    <t>5.2.2.8</t>
  </si>
  <si>
    <t>EF-17 basculante 50 x 50 cm</t>
  </si>
  <si>
    <t>5.2.2.9</t>
  </si>
  <si>
    <t>EF-18 corrediça 120 x 60 cm</t>
  </si>
  <si>
    <t>5.2.2.10</t>
  </si>
  <si>
    <t>EF-19 corrediça 150 x 120 cm</t>
  </si>
  <si>
    <t>5.2.2.11</t>
  </si>
  <si>
    <t>EF-20 corrediça 120 x 90 cm</t>
  </si>
  <si>
    <t>5.2.2.12</t>
  </si>
  <si>
    <t>EF-21 corrediça 180 x 90 cm</t>
  </si>
  <si>
    <t>5.2.2.13</t>
  </si>
  <si>
    <t>EF-22 corrediça 240 x 90 cm</t>
  </si>
  <si>
    <t>5.2.2.14</t>
  </si>
  <si>
    <t>EF-23 corrediça 240 x 120 cm</t>
  </si>
  <si>
    <t>5.2.2.15</t>
  </si>
  <si>
    <t>EF-24 corrediça 300 x 120 cm</t>
  </si>
  <si>
    <t>5.2.2.16</t>
  </si>
  <si>
    <t>EF-26 corrediça 270 x 160 cm</t>
  </si>
  <si>
    <t>5.2.2.17</t>
  </si>
  <si>
    <t>EF-27 corrediça 360 x 160 cm</t>
  </si>
  <si>
    <t>5.2.2.18</t>
  </si>
  <si>
    <t>EF-28 corrediça 200 x 105 cm</t>
  </si>
  <si>
    <t>04518/ORSE</t>
  </si>
  <si>
    <t>5.2.2.19</t>
  </si>
  <si>
    <t>Telas em nylon</t>
  </si>
  <si>
    <t>5.2.2.20</t>
  </si>
  <si>
    <t>Veneziana metálica circular com diamêtro de 120 cm (Castelo D'água)</t>
  </si>
  <si>
    <r>
      <rPr>
        <b/>
        <sz val="9"/>
        <rFont val="Arial"/>
        <family val="2"/>
      </rPr>
      <t>SINAPI
06.2018</t>
    </r>
  </si>
  <si>
    <r>
      <rPr>
        <b/>
        <sz val="9"/>
        <rFont val="Arial"/>
        <family val="2"/>
      </rPr>
      <t>PR. UNIT. S/ BDI
(R$)</t>
    </r>
  </si>
  <si>
    <r>
      <rPr>
        <b/>
        <sz val="9"/>
        <rFont val="Arial"/>
        <family val="2"/>
      </rPr>
      <t>PR. UNIT. C/
BDI (R$)</t>
    </r>
  </si>
  <si>
    <r>
      <rPr>
        <b/>
        <sz val="9"/>
        <rFont val="Arial"/>
        <family val="2"/>
      </rPr>
      <t>VALORES S/
BDI (R$)</t>
    </r>
  </si>
  <si>
    <r>
      <rPr>
        <b/>
        <sz val="9"/>
        <rFont val="Arial"/>
        <family val="2"/>
      </rPr>
      <t>VALORES C/
BDI (R$)</t>
    </r>
  </si>
  <si>
    <r>
      <rPr>
        <vertAlign val="subscript"/>
        <sz val="9"/>
        <rFont val="Arial"/>
        <family val="2"/>
      </rPr>
      <t>m</t>
    </r>
    <r>
      <rPr>
        <sz val="9"/>
        <rFont val="Arial"/>
        <family val="2"/>
      </rPr>
      <t>3</t>
    </r>
  </si>
  <si>
    <t>5.2.3</t>
  </si>
  <si>
    <t>Grades e portões</t>
  </si>
  <si>
    <t>5.2.3.1</t>
  </si>
  <si>
    <t>Portões 90X110cm (cobogós)</t>
  </si>
  <si>
    <t>5.2.3.2</t>
  </si>
  <si>
    <t>Portões 90X200cm (cobogós)</t>
  </si>
  <si>
    <t>07640/ORSE</t>
  </si>
  <si>
    <t>5.2.3.3</t>
  </si>
  <si>
    <t>Grades e portões h=210cm</t>
  </si>
  <si>
    <t>Sub-total item 5.2</t>
  </si>
  <si>
    <t>Sub-total item 5</t>
  </si>
  <si>
    <t>6.0</t>
  </si>
  <si>
    <t>VIDROS</t>
  </si>
  <si>
    <t>11556/ORSE</t>
  </si>
  <si>
    <t>6.1</t>
  </si>
  <si>
    <t>PV6 - Portas de vidro temperado -160x210cm</t>
  </si>
  <si>
    <t>6.2</t>
  </si>
  <si>
    <t>Espelhos 4mm</t>
  </si>
  <si>
    <t>Sub-total item 6</t>
  </si>
  <si>
    <t>7.0</t>
  </si>
  <si>
    <t>COBERTURA</t>
  </si>
  <si>
    <t>7.1</t>
  </si>
  <si>
    <t>Estrutura em madeira para cobertura</t>
  </si>
  <si>
    <t>7.2</t>
  </si>
  <si>
    <t>Telhas cerämicas</t>
  </si>
  <si>
    <t>7.3</t>
  </si>
  <si>
    <t>Telhas de vidro</t>
  </si>
  <si>
    <t>7.4</t>
  </si>
  <si>
    <t>Cumeeiras/Espigões</t>
  </si>
  <si>
    <t>7.5</t>
  </si>
  <si>
    <t>Calha metálica</t>
  </si>
  <si>
    <t>00304/ORSE</t>
  </si>
  <si>
    <t>7.6</t>
  </si>
  <si>
    <t>Rufos de concreto</t>
  </si>
  <si>
    <t>Sub-total item 7</t>
  </si>
  <si>
    <t>8.0</t>
  </si>
  <si>
    <t>IMPERMEABILIZAÇÃO</t>
  </si>
  <si>
    <t>74106/001</t>
  </si>
  <si>
    <t>8.1</t>
  </si>
  <si>
    <t>Impermeabilização das vigas baldrame</t>
  </si>
  <si>
    <t>10026/ORSE</t>
  </si>
  <si>
    <t>8.2</t>
  </si>
  <si>
    <t>Impermeabilização de calhas (piso)</t>
  </si>
  <si>
    <t>10023/ORSE</t>
  </si>
  <si>
    <t>8.3</t>
  </si>
  <si>
    <t>Impermeabilização do castelo d'água</t>
  </si>
  <si>
    <t>8.4</t>
  </si>
  <si>
    <t>Impermeabilização de calhas (telhado)  com manta asfáltica</t>
  </si>
  <si>
    <t>Sub-total item 8</t>
  </si>
  <si>
    <t>9.0</t>
  </si>
  <si>
    <t>REVESTIMENTO</t>
  </si>
  <si>
    <t>9.1</t>
  </si>
  <si>
    <t>Revestimento Interno</t>
  </si>
  <si>
    <t>9.1.1</t>
  </si>
  <si>
    <t>Paredes</t>
  </si>
  <si>
    <t>9.1.1.1</t>
  </si>
  <si>
    <t>Emboço</t>
  </si>
  <si>
    <t>03317/ORSE</t>
  </si>
  <si>
    <t>9.1.1.2</t>
  </si>
  <si>
    <t>Reboco</t>
  </si>
  <si>
    <t>9.1.1.3</t>
  </si>
  <si>
    <t>Cerâmica 20x20, inclusive rejuntamento.</t>
  </si>
  <si>
    <t>9.1.2</t>
  </si>
  <si>
    <t>Tetos</t>
  </si>
  <si>
    <t>03315/ORSE</t>
  </si>
  <si>
    <t>9.1.2.1</t>
  </si>
  <si>
    <t>Sub-total item 9.1</t>
  </si>
  <si>
    <t>9.2</t>
  </si>
  <si>
    <t>Revestimento Externo</t>
  </si>
  <si>
    <t>9.2.1</t>
  </si>
  <si>
    <t>Paredes e fachadas</t>
  </si>
  <si>
    <t>9.2.1.1</t>
  </si>
  <si>
    <t>Chapisco externo</t>
  </si>
  <si>
    <t>9.2.1.2</t>
  </si>
  <si>
    <t>9.2.1.3</t>
  </si>
  <si>
    <t>11369/ORSE</t>
  </si>
  <si>
    <t>9.2.1.4</t>
  </si>
  <si>
    <t>Cerâmica 10x10, inclusive rejuntamento.</t>
  </si>
  <si>
    <t>Sub-total item  9.2</t>
  </si>
  <si>
    <t>Sub-total item 9</t>
  </si>
  <si>
    <t>10.0</t>
  </si>
  <si>
    <t>PAVIMENTAÇÃO</t>
  </si>
  <si>
    <t>10.1</t>
  </si>
  <si>
    <t>Camada impermeabilizadora de concreto com espessura de 7 cm, FCK 15 Mpa.</t>
  </si>
  <si>
    <t>10.2</t>
  </si>
  <si>
    <t>Regularização de piso com aditivo impermeabilizante</t>
  </si>
  <si>
    <t>10.3</t>
  </si>
  <si>
    <t>Bloco de concreto intertravado</t>
  </si>
  <si>
    <t>04750/ORSE</t>
  </si>
  <si>
    <t>10.4</t>
  </si>
  <si>
    <t>Cerâmica, inclusive rejuntamento</t>
  </si>
  <si>
    <t>10.5</t>
  </si>
  <si>
    <t>Cimento desempenado</t>
  </si>
  <si>
    <t>10.6</t>
  </si>
  <si>
    <t>Piso em granitina espessura de 8 cm, Incluso juntas de dilatação plasticas.</t>
  </si>
  <si>
    <t>03230/ORSE</t>
  </si>
  <si>
    <t>10.7</t>
  </si>
  <si>
    <t>Calha de concreto com grelhas</t>
  </si>
  <si>
    <t>Sub-total item 10</t>
  </si>
  <si>
    <t>11.0</t>
  </si>
  <si>
    <t>SOLEIRAS, RODAPÉS E PEITORIS</t>
  </si>
  <si>
    <t>10653/ORSE</t>
  </si>
  <si>
    <t>11.1</t>
  </si>
  <si>
    <t>Soleiras em granito espessura de 15 cm</t>
  </si>
  <si>
    <t>11.2</t>
  </si>
  <si>
    <t>Rodapé em cerâmica</t>
  </si>
  <si>
    <t>11.3</t>
  </si>
  <si>
    <t>Rejuntamento de rodapés de cerâmica</t>
  </si>
  <si>
    <t>73886/001</t>
  </si>
  <si>
    <t>11.4</t>
  </si>
  <si>
    <t>Rodameio de madeira L=10cm</t>
  </si>
  <si>
    <t>Sub-total item 11</t>
  </si>
  <si>
    <t>12.0</t>
  </si>
  <si>
    <t>PINTURA</t>
  </si>
  <si>
    <t>Paredes internas</t>
  </si>
  <si>
    <t>Pintura acrílica s/ massa corrida</t>
  </si>
  <si>
    <t>Aplicação e lixamento de massa látex em paredes internas, duas demãos</t>
  </si>
  <si>
    <t>Pintura PVA</t>
  </si>
  <si>
    <t>12.2</t>
  </si>
  <si>
    <t>Paredes externas</t>
  </si>
  <si>
    <t>12.3</t>
  </si>
  <si>
    <t>12,3,1</t>
  </si>
  <si>
    <t>12,3,2</t>
  </si>
  <si>
    <t>12.4</t>
  </si>
  <si>
    <t>Outros</t>
  </si>
  <si>
    <t>3739/001</t>
  </si>
  <si>
    <t>Pintura esmalte em portas em madeira</t>
  </si>
  <si>
    <t>Tratamento em verniz em rodameio de madeira</t>
  </si>
  <si>
    <t>73924/002</t>
  </si>
  <si>
    <t>Pintura esmalte em esquadrias e grades de ferro</t>
  </si>
  <si>
    <t>Sub-total item 12</t>
  </si>
  <si>
    <t>13.0</t>
  </si>
  <si>
    <t>SERVIÇOS COMPLEMENTARES</t>
  </si>
  <si>
    <t>10759/ORSE</t>
  </si>
  <si>
    <t>13.1</t>
  </si>
  <si>
    <t>Bancadas e balcões em granito Cinza Andorinha</t>
  </si>
  <si>
    <t>Cotação</t>
  </si>
  <si>
    <t>13.2</t>
  </si>
  <si>
    <t>Lavatórios em granito Cinza Andorinha</t>
  </si>
  <si>
    <t>13.3</t>
  </si>
  <si>
    <t>Armários e escaninhos em granito Cinza Andorinha (A-01 ao  A-09)</t>
  </si>
  <si>
    <t>13.4</t>
  </si>
  <si>
    <t>Prateleiras em granito Cinza Andorinha</t>
  </si>
  <si>
    <t>13.5</t>
  </si>
  <si>
    <t>Rodamão em granito h=10cm Cinza Andorinha</t>
  </si>
  <si>
    <t>13.6</t>
  </si>
  <si>
    <t>Acabamento de bordas em bancadas e balcões de Cinza Andorinha</t>
  </si>
  <si>
    <t>13.7</t>
  </si>
  <si>
    <t>Acabamento de armários e escaninhos de Cinza Andorinha</t>
  </si>
  <si>
    <t>13.8</t>
  </si>
  <si>
    <t>Acabamento de prateleiras de Cinza Andorinha</t>
  </si>
  <si>
    <t>13.9</t>
  </si>
  <si>
    <t>Acabamento de lavatórios  Cinza Andorinha</t>
  </si>
  <si>
    <t>13.10</t>
  </si>
  <si>
    <t>Barras de proteção c=300cm h=45cm</t>
  </si>
  <si>
    <t>13.11</t>
  </si>
  <si>
    <t>Guarda-corpos metalico castelo d'água h=120cm</t>
  </si>
  <si>
    <t>74194/001</t>
  </si>
  <si>
    <t>13.12</t>
  </si>
  <si>
    <t>Escadas metálicas do castelo d'água com proteção</t>
  </si>
  <si>
    <t>13.13</t>
  </si>
  <si>
    <t>Plataforma metalica de transição das escadas do castelo d'água</t>
  </si>
  <si>
    <t>13.14</t>
  </si>
  <si>
    <t>Bancos retráteis para PNE</t>
  </si>
  <si>
    <t>cj.</t>
  </si>
  <si>
    <t>13.15</t>
  </si>
  <si>
    <t>Barras 90cm para PNE</t>
  </si>
  <si>
    <t>13.16</t>
  </si>
  <si>
    <t>Barras 45 cm para PNE</t>
  </si>
  <si>
    <t>13.17</t>
  </si>
  <si>
    <t>Bancos de concreto da administração</t>
  </si>
  <si>
    <t>13.18</t>
  </si>
  <si>
    <t>Bancos de concreto do pátio</t>
  </si>
  <si>
    <t>02421/ORSE</t>
  </si>
  <si>
    <t>13.19</t>
  </si>
  <si>
    <t>Mastros para bandeiras</t>
  </si>
  <si>
    <t>13.20</t>
  </si>
  <si>
    <t>Quadro negro</t>
  </si>
  <si>
    <t>13.21</t>
  </si>
  <si>
    <t>Alçapão de acesso à caixa d'água</t>
  </si>
  <si>
    <t>Sub-total item 13</t>
  </si>
  <si>
    <t>14.0</t>
  </si>
  <si>
    <t>INSTALAÇÕES HIDRÁULICAS E SANITÁRIAS</t>
  </si>
  <si>
    <t>14.1</t>
  </si>
  <si>
    <t>ÁGUA FRIA</t>
  </si>
  <si>
    <t>TUBULAÇÕES E CONEXÕES DE PVC RÍGIDO</t>
  </si>
  <si>
    <t>01220/ORSE</t>
  </si>
  <si>
    <t>14.1.1.1</t>
  </si>
  <si>
    <t>Tubo PVC soldável, diâmetro 25mm</t>
  </si>
  <si>
    <t>01029/ORSE</t>
  </si>
  <si>
    <t>14.1.1.2</t>
  </si>
  <si>
    <t>Tubo PVC soldável, diâmetro 32mm</t>
  </si>
  <si>
    <t>01031/ORSE</t>
  </si>
  <si>
    <t>14.1.1.3</t>
  </si>
  <si>
    <t>Tubo PVC soldável, diâmetro 50mm</t>
  </si>
  <si>
    <t>01032/ORSE</t>
  </si>
  <si>
    <t>14.1.1.4</t>
  </si>
  <si>
    <t>Tubo PVC soldável, diâmetro 60mm</t>
  </si>
  <si>
    <t>01034/ORSE</t>
  </si>
  <si>
    <t>14.1.1.5</t>
  </si>
  <si>
    <t>Tubo PVC soldável, diâmetro 85mm</t>
  </si>
  <si>
    <t>Adaptadores</t>
  </si>
  <si>
    <t>14.1.2.1</t>
  </si>
  <si>
    <t>Adaptador PVC soldável curto com bolsa e rosca, diâmetro 25x3/4"</t>
  </si>
  <si>
    <t>14.1.2.2</t>
  </si>
  <si>
    <t>Adaptador PVC soldável curto com bolsa e rosca, diâmetro 32x1"</t>
  </si>
  <si>
    <t>14.1.2.3</t>
  </si>
  <si>
    <t>Adaptador PVC soldável curto com bolsa e rosca, diâmetro 50x1.1/2"</t>
  </si>
  <si>
    <t>14.1.2.4</t>
  </si>
  <si>
    <t>Adaptador PVC soldável curto com bolsa e rosca, diâmetro 85x3"</t>
  </si>
  <si>
    <t>14.1.2.5</t>
  </si>
  <si>
    <t>Adaptador PVC soldável com flanges livres, diâmetro 25x3/4"</t>
  </si>
  <si>
    <t>14.1.2.6</t>
  </si>
  <si>
    <t>Adaptador PVC soldável com flanges livres, diâmetro 32x1"</t>
  </si>
  <si>
    <t>14.1.2.7</t>
  </si>
  <si>
    <t>Adaptador PVC soldável com flanges livres, diâmetro 50x1.1/2"</t>
  </si>
  <si>
    <t>14.1.2.8</t>
  </si>
  <si>
    <t>Adaptador PVC soldável com flanges livres, diâmetro 85x3"</t>
  </si>
  <si>
    <t>Buchas de redução</t>
  </si>
  <si>
    <t>01072/ORSE</t>
  </si>
  <si>
    <t>14.1.3.1</t>
  </si>
  <si>
    <t>Bucha de  redução, PVC soldável, diâmetro 32x25mm</t>
  </si>
  <si>
    <t>01083/ORSE</t>
  </si>
  <si>
    <t>14.1.3.2</t>
  </si>
  <si>
    <t>Bucha de  redução, PVC soldável, diâmetro 50x25mm</t>
  </si>
  <si>
    <t>01084/ORSE</t>
  </si>
  <si>
    <t>14.1.3.3</t>
  </si>
  <si>
    <t>Bucha de  redução, PVC soldável, diâmetro 50x32mm</t>
  </si>
  <si>
    <t>01085/ORSE</t>
  </si>
  <si>
    <t>14.1.3.4</t>
  </si>
  <si>
    <t>Bucha de  redução, PVC soldável, diâmetro 60x25mm</t>
  </si>
  <si>
    <t>01086/ORSE</t>
  </si>
  <si>
    <t>14.1.3.5</t>
  </si>
  <si>
    <t>Bucha de  redução, PVC soldável, diâmetro 60x32mm</t>
  </si>
  <si>
    <t>01075/ORSE</t>
  </si>
  <si>
    <t>14.1.3.6</t>
  </si>
  <si>
    <t>Bucha de  redução, PVC soldável, diâmetro 60x50mm</t>
  </si>
  <si>
    <t>01090/ORSE</t>
  </si>
  <si>
    <t>14.1.3.7</t>
  </si>
  <si>
    <t>Bucha de  redução, PVC soldável, diâmetro 85x60mm</t>
  </si>
  <si>
    <t>Joelhos</t>
  </si>
  <si>
    <t>14.1.4.1</t>
  </si>
  <si>
    <t>Joelho  90º PVC soldável, diâmetro 25mm</t>
  </si>
  <si>
    <t>14.1.4.2</t>
  </si>
  <si>
    <t>Joelho  90º PVC soldável, diâmetro 32mm</t>
  </si>
  <si>
    <t>14.1.4.3</t>
  </si>
  <si>
    <t>Joelho  90º PVC soldável, diâmetro 50mm</t>
  </si>
  <si>
    <t>14.1.4.4</t>
  </si>
  <si>
    <t>Joelho  90º PVC soldável, diâmetro 60mm</t>
  </si>
  <si>
    <t>14.1.4.5</t>
  </si>
  <si>
    <t>Joelho  90º PVC soldável, diâmetro 85mm</t>
  </si>
  <si>
    <t>14.1.4.6</t>
  </si>
  <si>
    <t>Joelho  45º PVC soldável, diâmetro 25mm</t>
  </si>
  <si>
    <t>14.1.4.7</t>
  </si>
  <si>
    <t>Joelho  45º PVC soldável, diâmetro 32mm</t>
  </si>
  <si>
    <t>14.1.4.8</t>
  </si>
  <si>
    <t>Joelho  45º PVC soldável, diâmetro 50mm</t>
  </si>
  <si>
    <t>14.1.4.9</t>
  </si>
  <si>
    <t>Joelho  90º PVC soldável com bucha de latão, diâmetro 25x3/4"</t>
  </si>
  <si>
    <t>14.1.4.10</t>
  </si>
  <si>
    <t>Joelho de redução 90º PVC soldável com bucha de latão, diâmetro 25x1/2"</t>
  </si>
  <si>
    <t>01144/ORSE</t>
  </si>
  <si>
    <t>14.1.4.11</t>
  </si>
  <si>
    <t>Joelho de redução 90º PVC soldável, diâmetro 32x25mm</t>
  </si>
  <si>
    <t>Luvas</t>
  </si>
  <si>
    <t>14.1.5.1</t>
  </si>
  <si>
    <t>Luva de PVC soldável diâmetro 25mm</t>
  </si>
  <si>
    <t>14.1.5.2</t>
  </si>
  <si>
    <t>Luva de PVC soldável diâmetro 32mm</t>
  </si>
  <si>
    <t>14.1.5.3</t>
  </si>
  <si>
    <t>Luva de PVC soldável diâmetro 50mm</t>
  </si>
  <si>
    <t>14.1.5.4</t>
  </si>
  <si>
    <t>Luva de PVC soldável diâmetro 60mm</t>
  </si>
  <si>
    <t>14.1.5.5</t>
  </si>
  <si>
    <t>Luva de PVC soldável diâmetro 85mm</t>
  </si>
  <si>
    <t>01311/ORSE</t>
  </si>
  <si>
    <t>14.1.5.6</t>
  </si>
  <si>
    <t>Luva de redução de PVC soldável com rosca diâmetro 25x1/2"</t>
  </si>
  <si>
    <t>Tê</t>
  </si>
  <si>
    <t>14.1.6.1</t>
  </si>
  <si>
    <t>Tê de 90º  PVC soldável, diâmetro 25mm</t>
  </si>
  <si>
    <t>14.1.6.2</t>
  </si>
  <si>
    <t>Tê de 90º  PVC soldável, diâmetro 32mm</t>
  </si>
  <si>
    <t>14.1.6.3</t>
  </si>
  <si>
    <t>Tê de 90º  PVC soldável, diâmetro 50mm</t>
  </si>
  <si>
    <t>14.1.6.4</t>
  </si>
  <si>
    <t>Tê de 90º  PVC soldável, diâmetro 60mm</t>
  </si>
  <si>
    <t>14.1.6.5</t>
  </si>
  <si>
    <t>Tê de 90º  PVC soldável, diâmetro 85mm</t>
  </si>
  <si>
    <t>14.1.6.6</t>
  </si>
  <si>
    <t>Tê de redução PVC soldável com rosca central, diâmetro 25x1/2"</t>
  </si>
  <si>
    <t>14.1.6.7</t>
  </si>
  <si>
    <t>Tê de redução PVC soldável com rosca central, diâmetro 32x3/4"</t>
  </si>
  <si>
    <t>14.1.6.8</t>
  </si>
  <si>
    <t>Tê de redução PVC soldável, diâmetro 32x25mm</t>
  </si>
  <si>
    <t>14.1.6.9</t>
  </si>
  <si>
    <t>Tê de redução PVC soldável, diâmetro 50x25mm</t>
  </si>
  <si>
    <t>14.1.6.10</t>
  </si>
  <si>
    <t>Tê de redução PVC soldável, diâmetro 60x25mm</t>
  </si>
  <si>
    <t>14.1.6.11</t>
  </si>
  <si>
    <t>Tê de redução PVC soldável, diâmetro 85x60mm</t>
  </si>
  <si>
    <t>União</t>
  </si>
  <si>
    <t>14.1.7.1</t>
  </si>
  <si>
    <t>União de PVC soldável diâmetro 25mm</t>
  </si>
  <si>
    <t>14.1.7.2</t>
  </si>
  <si>
    <t>União de PVC soldável diâmetro 32mm</t>
  </si>
  <si>
    <t>14.1.7.3</t>
  </si>
  <si>
    <t>União de PVC soldável diâmetro 50mm</t>
  </si>
  <si>
    <t>14.1.7.4</t>
  </si>
  <si>
    <t>União de PVC soldável diâmetro 85mm</t>
  </si>
  <si>
    <t>Plug</t>
  </si>
  <si>
    <t>01356/ORSE</t>
  </si>
  <si>
    <t>14.1..8.1</t>
  </si>
  <si>
    <t>Plug de PVC com rosca diâmetro 1/2"</t>
  </si>
  <si>
    <t>01355/ORSE</t>
  </si>
  <si>
    <t>14.1..8.2</t>
  </si>
  <si>
    <t>Plug de PVC com rosca diâmetro 3/4"</t>
  </si>
  <si>
    <t>14.1..8.3</t>
  </si>
  <si>
    <t>Plug de PVC com rosca diâmetro 1.1/4"</t>
  </si>
  <si>
    <t>Subtotal item   14</t>
  </si>
  <si>
    <t>15.0</t>
  </si>
  <si>
    <t>APARELHOS E ACESSÓRIOS SANITÁRIOS</t>
  </si>
  <si>
    <t>15.1</t>
  </si>
  <si>
    <t>Lavatório individual com coluna suspensa, cor branca</t>
  </si>
  <si>
    <t>15.2</t>
  </si>
  <si>
    <t>Cuba de embutir oval grande, cor branca</t>
  </si>
  <si>
    <t>15.3</t>
  </si>
  <si>
    <t>Cuba de embutir redonda pequena, cor branca</t>
  </si>
  <si>
    <t>15.4</t>
  </si>
  <si>
    <t>Bacia sifonada com abertura frontal, cor branca</t>
  </si>
  <si>
    <t>15.5</t>
  </si>
  <si>
    <t>Bacia sifonada infantil, cor branca</t>
  </si>
  <si>
    <t>15.6</t>
  </si>
  <si>
    <t>Bacia sifonada sem abertura frontal, cor branca</t>
  </si>
  <si>
    <t>15.7</t>
  </si>
  <si>
    <t>Assento para bacia com abertura frontal, cor branca</t>
  </si>
  <si>
    <t>15.8</t>
  </si>
  <si>
    <t>Assento para bacia infantil, cor branca</t>
  </si>
  <si>
    <t>02066/ORSE</t>
  </si>
  <si>
    <t>15.9</t>
  </si>
  <si>
    <t>Assento para bacia sem abertura frontal, cor branca</t>
  </si>
  <si>
    <t>15.10</t>
  </si>
  <si>
    <t>Cuba para pia de aço inox, 625x505x300mm, acabamento alto brilho</t>
  </si>
  <si>
    <t>15.11</t>
  </si>
  <si>
    <t>Cuba para pia de aço inox, 560x340x140mm, acabamento polido</t>
  </si>
  <si>
    <t>15.12</t>
  </si>
  <si>
    <t>Cuba para pia de aço inox, 400x340x170mm, acabamento polido</t>
  </si>
  <si>
    <t>15.13</t>
  </si>
  <si>
    <t>Tanque duplo com capacidade de 27+30 litros, acabamento alto brilho, 1200x550mm</t>
  </si>
  <si>
    <t>15.14</t>
  </si>
  <si>
    <t>Torneira de mesa, bica alta</t>
  </si>
  <si>
    <t>15.15</t>
  </si>
  <si>
    <t>Torneira de parede</t>
  </si>
  <si>
    <t>15.16</t>
  </si>
  <si>
    <t>Torneira de mesa, bica baixa</t>
  </si>
  <si>
    <t>08758/ORSE</t>
  </si>
  <si>
    <t>15.17</t>
  </si>
  <si>
    <t>Torneira elétrica, 5500W</t>
  </si>
  <si>
    <t>15.18</t>
  </si>
  <si>
    <t>Torneira de parede, bica móvel</t>
  </si>
  <si>
    <t>15.19</t>
  </si>
  <si>
    <t>Torneira de mesa, bica móvel</t>
  </si>
  <si>
    <t>15.20</t>
  </si>
  <si>
    <t>Torneira para uso geral</t>
  </si>
  <si>
    <t>08236/ORSE</t>
  </si>
  <si>
    <t>15.21</t>
  </si>
  <si>
    <t>Torneira para jardim/mangueira</t>
  </si>
  <si>
    <t>15.22</t>
  </si>
  <si>
    <t>Torneira de bóia, diâmetro 25mm</t>
  </si>
  <si>
    <t>15.23</t>
  </si>
  <si>
    <t>Registro de pressão com canopla p/ chuveiro, diâmetro 3/4"</t>
  </si>
  <si>
    <t>15.24</t>
  </si>
  <si>
    <t>Registro de gaveta bruto, diâmetro 3/4"</t>
  </si>
  <si>
    <t>02040/ORSE</t>
  </si>
  <si>
    <t>15.25</t>
  </si>
  <si>
    <t>Registro de gaveta bruto, diâmetro 1"</t>
  </si>
  <si>
    <t>02041/ORSE</t>
  </si>
  <si>
    <t>15.26</t>
  </si>
  <si>
    <t>Registro de gaveta bruto, diâmetro 1.1/2"</t>
  </si>
  <si>
    <t>01462/ORSE</t>
  </si>
  <si>
    <t>15.27</t>
  </si>
  <si>
    <t>Registro de gaveta bruto, diâmetro 3"</t>
  </si>
  <si>
    <t>15.28</t>
  </si>
  <si>
    <t>Registro de gaveta com canopla, diâmetro 3/4"</t>
  </si>
  <si>
    <t>15.29</t>
  </si>
  <si>
    <t>Registro de gaveta com canopla, diâmetro 1"</t>
  </si>
  <si>
    <t>15.30</t>
  </si>
  <si>
    <t>Registro de gaveta com canopla, diâmetro 1.1/2"</t>
  </si>
  <si>
    <t>15.31</t>
  </si>
  <si>
    <t>Ligação flexível metálica para lavatório de 1/2"</t>
  </si>
  <si>
    <t>15.32</t>
  </si>
  <si>
    <t>Ligação flexível metálica para pia de 3/4"</t>
  </si>
  <si>
    <t>15.33</t>
  </si>
  <si>
    <t>Ducha elétrica com desviador, 5500W, cor branca</t>
  </si>
  <si>
    <t>15.34</t>
  </si>
  <si>
    <t>Ducha higiênica</t>
  </si>
  <si>
    <t>15.35</t>
  </si>
  <si>
    <t>Ducha elétrica 4000W com desviador</t>
  </si>
  <si>
    <t>15.36</t>
  </si>
  <si>
    <t>Chuveiro elétrico, 5500W, acabamento cromado</t>
  </si>
  <si>
    <t>15.37</t>
  </si>
  <si>
    <t>Válvula de descarga duplo acionamento p/ vaso sanitário de 1.1/2"</t>
  </si>
  <si>
    <t>15.38</t>
  </si>
  <si>
    <t>Caixa d'água pré-fabricada capacidade 15000 litros</t>
  </si>
  <si>
    <t>15.39</t>
  </si>
  <si>
    <t>Tubo de descarga VDE, série normal, diâmetro 38 mm</t>
  </si>
  <si>
    <t>73796/003</t>
  </si>
  <si>
    <t>15.40</t>
  </si>
  <si>
    <t>Válvula de pé com crivo, 1.1/2"</t>
  </si>
  <si>
    <t>08447/ORSE</t>
  </si>
  <si>
    <t>15.41</t>
  </si>
  <si>
    <t>Válvula de retenção com portinhola de bronze, 1"</t>
  </si>
  <si>
    <t>04429/ORSE</t>
  </si>
  <si>
    <t>15.42</t>
  </si>
  <si>
    <t>Caixa em alvenaria 30x30 cm - CRG e CTD</t>
  </si>
  <si>
    <t>15.43</t>
  </si>
  <si>
    <t>Caixa em alvenaria 100x160 cm para bombas</t>
  </si>
  <si>
    <t>15.44</t>
  </si>
  <si>
    <t>Tampa de ferro fundido 30x30 cm - tipo leve</t>
  </si>
  <si>
    <t>15.45</t>
  </si>
  <si>
    <t>Tampa de ferro fundido 60x60 cm - tipo leve</t>
  </si>
  <si>
    <t>15.46</t>
  </si>
  <si>
    <t>Braçadeira metálica tipo ômega, diâmetro 25 mm</t>
  </si>
  <si>
    <t>15.47</t>
  </si>
  <si>
    <t>Braçadeira metálica tipo ômega, diâmetro 32 mm</t>
  </si>
  <si>
    <t>15.48</t>
  </si>
  <si>
    <t>Braçadeira metálica tipo ômega, diâmetro 40 mm</t>
  </si>
  <si>
    <t>15.49</t>
  </si>
  <si>
    <t>Braçadeira metálica tipo ômega, diâmetro 50 mm</t>
  </si>
  <si>
    <t>15.50</t>
  </si>
  <si>
    <t>Braçadeira metálica tipo ômega, diâmetro 85 mm</t>
  </si>
  <si>
    <t>15.51</t>
  </si>
  <si>
    <t>Porta-sabonete líquido de parede</t>
  </si>
  <si>
    <t>15.52</t>
  </si>
  <si>
    <t>Porta papel-toalha de parede</t>
  </si>
  <si>
    <t>02033/ORSE</t>
  </si>
  <si>
    <t>15.53</t>
  </si>
  <si>
    <t>Porta papel higiênico em louça de embutir</t>
  </si>
  <si>
    <t>02032/ORSE</t>
  </si>
  <si>
    <t>15.54</t>
  </si>
  <si>
    <t>Saboneteira em louça de embutir</t>
  </si>
  <si>
    <t>Subtotal item 15</t>
  </si>
  <si>
    <t>16.0</t>
  </si>
  <si>
    <t>EQUIPAMENTOS</t>
  </si>
  <si>
    <t>16.1</t>
  </si>
  <si>
    <t>Conjunto moto-bomba com rotor em bronze, 3/4 cv, Hman=15mca, Q=5m³/h, 380 Volts, trifásica</t>
  </si>
  <si>
    <t>16.2</t>
  </si>
  <si>
    <t>Automático de bóia nível máximo</t>
  </si>
  <si>
    <t>16.3</t>
  </si>
  <si>
    <t>Automático de bóia nível mínimo</t>
  </si>
  <si>
    <t>Subtotal item 16</t>
  </si>
  <si>
    <t>17.0</t>
  </si>
  <si>
    <t>TUBULAÇÕES E CONEXÕES DE FERRO GALVANIZADO</t>
  </si>
  <si>
    <t>17.1</t>
  </si>
  <si>
    <t>Tubo</t>
  </si>
  <si>
    <t>Tubo FG roscável, diâmetro 3/4"</t>
  </si>
  <si>
    <t>Tubo FG roscável, diâmetro 1"</t>
  </si>
  <si>
    <t>Tubo FG roscável, diâmetro 1.1/2"</t>
  </si>
  <si>
    <t>Tubo FG roscável, diâmetro 3"</t>
  </si>
  <si>
    <t>17.2</t>
  </si>
  <si>
    <t>Bucha de redução</t>
  </si>
  <si>
    <t>Bucha de redução, FG roscável, diâmetro 1"x3/4"</t>
  </si>
  <si>
    <t>17.3</t>
  </si>
  <si>
    <t>Joelho</t>
  </si>
  <si>
    <t>Joelho 90º FG roscável, diâmetro 3/4"</t>
  </si>
  <si>
    <t>Joelho 90º FG roscável, diâmetro 1.1/2"</t>
  </si>
  <si>
    <t>Joelho 90º FG roscável, diâmetro 1"</t>
  </si>
  <si>
    <t>Joelho 90º FG roscável, diâmetro 3"</t>
  </si>
  <si>
    <t>17.4</t>
  </si>
  <si>
    <t>Luva</t>
  </si>
  <si>
    <t>Luva FG, F/F roscável, diâmetro 1"</t>
  </si>
  <si>
    <t>Luva FG, F/F roscável, diâmetro 1.1/2"</t>
  </si>
  <si>
    <t>17.5</t>
  </si>
  <si>
    <t>Te 90º FG roscável, diâmetro 1.1/2"</t>
  </si>
  <si>
    <t>Te 90º FG roscável, diâmetro 1"</t>
  </si>
  <si>
    <t>Te 45º FG roscável, diâmetro 1"</t>
  </si>
  <si>
    <t>17.6</t>
  </si>
  <si>
    <t>União FG roscável MF, diâmetro 1"</t>
  </si>
  <si>
    <t>União FG roscável MF, diâmetro 1.1/2"</t>
  </si>
  <si>
    <t>17.7</t>
  </si>
  <si>
    <t>Niple</t>
  </si>
  <si>
    <t>Niple FG roscável diâmetro 1"</t>
  </si>
  <si>
    <t>Subtotal item 17</t>
  </si>
  <si>
    <t>18.0</t>
  </si>
  <si>
    <t>DRENAGEM DE ÁGUAS PLUVIAIS</t>
  </si>
  <si>
    <t>18.1</t>
  </si>
  <si>
    <t>Tubo de PVC esgoto série R, ponta e bolsa com anel de borracha, Ø100mm</t>
  </si>
  <si>
    <t>Tubo de PVC esgoto série R, ponta e bolsa com anel de borracha, Ø150mm</t>
  </si>
  <si>
    <t>Tubo de PVC esgoto, tipo Vinilfort ou equivalente, ponta e bolsa com junta elástica integrada, Ø150mm</t>
  </si>
  <si>
    <t>Tubo de PVC esgoto, tipo Vinilfort ou equivalente, ponta e bolsa com junta elástica integrada, Ø200mm</t>
  </si>
  <si>
    <t>Tubo de PVC esgoto, tipo Vinilfort ou equivalente, ponta e bolsa com junta elástica integrada, Ø250mm</t>
  </si>
  <si>
    <t>Tubo de PVC esgoto, tipo Vinilfort ou equivalente, ponta e bolsa com junta elástica integrada, Ø300mm</t>
  </si>
  <si>
    <t>18.2</t>
  </si>
  <si>
    <t>Curva</t>
  </si>
  <si>
    <t>Curva 87º30' de PVC esgoto Série R, com anel de borracha, Ø150mm</t>
  </si>
  <si>
    <t>Curva 87º30' de PVC esgoto Série R, com anel de borracha, Ø100mm</t>
  </si>
  <si>
    <t>18.3</t>
  </si>
  <si>
    <t>Joelho 45 graus de PVC esgoto série R, com anel de borracha, Ø150mm</t>
  </si>
  <si>
    <t>Joelho 90 graus de PVC esgoto série R, com anel de borracha, Ø150mm</t>
  </si>
  <si>
    <t>18.4</t>
  </si>
  <si>
    <t>Luva de PVC esgoto, série R, com anel de borracha, Ø100mm</t>
  </si>
  <si>
    <t>Luva de PVC esgoto, série R, com anel de borracha, Ø150mm</t>
  </si>
  <si>
    <t>Luva de PVC esgoto, tipo Vinilfort ou equivalente, com junta elástica integrada, Ø100mm</t>
  </si>
  <si>
    <t>Luva de PVC esgoto, tipo Vinilfort ou equivalente, com junta elástica integrada, Ø150mm</t>
  </si>
  <si>
    <t>Luva de PVC esgoto, tipo Vinilfort ou equivalente, com junta elástica integrada, Ø200mm</t>
  </si>
  <si>
    <t>Luva de PVC esgoto, tipo Vinilfort ou equivalente, com junta elástica integrada, Ø250mm</t>
  </si>
  <si>
    <t>Luva de PVC esgoto, tipo Vinilfort ou equivalente, com junta elástica integrada, Ø300mm</t>
  </si>
  <si>
    <t>18.5</t>
  </si>
  <si>
    <t>Tê de inspeção</t>
  </si>
  <si>
    <t>Tê de inspeção de PVC esgoto, série R, com anel de borracha, Ø150x100mm</t>
  </si>
  <si>
    <t>Tê de inspeção de PVC esgoto, série R, com anel de borracha, Ø100x75mm</t>
  </si>
  <si>
    <t>Subtotal item 18</t>
  </si>
  <si>
    <t>ACESSÓRIOS</t>
  </si>
  <si>
    <t>19.1</t>
  </si>
  <si>
    <t>Ralo hemisférico</t>
  </si>
  <si>
    <t>07752/ORSE</t>
  </si>
  <si>
    <t>Ralo hemisférico (formato abacaxi) de ferro fundido, Ø150mm</t>
  </si>
  <si>
    <t>04283/ORSE</t>
  </si>
  <si>
    <t>Ralo hemisférico (formato abacaxi) de ferro fundido, Ø100mm</t>
  </si>
  <si>
    <t>19.2</t>
  </si>
  <si>
    <t>Caixa de passagem</t>
  </si>
  <si>
    <t>05027/ORSE</t>
  </si>
  <si>
    <t>Caixa de inspeção em alvenaria com fundo em concreto, 60x60cm</t>
  </si>
  <si>
    <t>Tampa de concreto 60x60cm para caixa de inspeção</t>
  </si>
  <si>
    <t>02794/ORSE</t>
  </si>
  <si>
    <t>Caixa de ralo em alvenaria com fundo em concreto, 40x40cm</t>
  </si>
  <si>
    <t>08769/ORSE</t>
  </si>
  <si>
    <t>Grelha de ferro fundido 40x40cm, tipo leve, para caixa de ralo</t>
  </si>
  <si>
    <t>03233/ORSE</t>
  </si>
  <si>
    <t>Caixa de brita 40x40cm</t>
  </si>
  <si>
    <t>19.3</t>
  </si>
  <si>
    <t>Poço de visita</t>
  </si>
  <si>
    <t>02689/ORSE</t>
  </si>
  <si>
    <t>Poço de visita em alvenaria com fundo em concreto, 110x110cm</t>
  </si>
  <si>
    <t>Tampa de concreto Ø60cm para poço de visita</t>
  </si>
  <si>
    <t>19.4</t>
  </si>
  <si>
    <t>Tampa para inspeção</t>
  </si>
  <si>
    <t>Chapa de aço galvanizado aparafusável, 15x15cm, para inspeção em alvenaria</t>
  </si>
  <si>
    <t>19.5</t>
  </si>
  <si>
    <t>Grelha</t>
  </si>
  <si>
    <t>04957/ORSE</t>
  </si>
  <si>
    <t>Calha de piso em PVC DN 130, com grelha</t>
  </si>
  <si>
    <t>05077/ORSE</t>
  </si>
  <si>
    <t>Calha de cobertura em PVC DN 130</t>
  </si>
  <si>
    <t>Subtotal item 19</t>
  </si>
  <si>
    <t>20.0</t>
  </si>
  <si>
    <t>ESGOTOS SANITÁRIOS</t>
  </si>
  <si>
    <t>20.1</t>
  </si>
  <si>
    <t>Tubo de PVC rígido esgoto série R 150mm</t>
  </si>
  <si>
    <t>09387/ORSE</t>
  </si>
  <si>
    <t>Tubo de PVC rígido esgoto série R 100mm</t>
  </si>
  <si>
    <t>Tubo de PVC rígido esgoto série R 75mm</t>
  </si>
  <si>
    <t>Tubo de PVC rígido esgoto série R 50mm</t>
  </si>
  <si>
    <t>Tubo de PVC rígido esgoto série R 40mm</t>
  </si>
  <si>
    <t>20.2</t>
  </si>
  <si>
    <t>Cap</t>
  </si>
  <si>
    <t>01612/ORSE</t>
  </si>
  <si>
    <t>Cap de PVC rígido esgoto série R com anel de borracha 100mm</t>
  </si>
  <si>
    <t>20.3</t>
  </si>
  <si>
    <t>Joelho 45 graus série R 100mm</t>
  </si>
  <si>
    <t>Joelho 45 graus série R 75mm</t>
  </si>
  <si>
    <t>Joelho 45 graus série R 50mm</t>
  </si>
  <si>
    <t>Joelho 45 graus série R 40mm</t>
  </si>
  <si>
    <t>Joelho 90 graus série R 100mm</t>
  </si>
  <si>
    <t>Joelho 90 graus série R 75mm</t>
  </si>
  <si>
    <t>Joelho 90 graus série R 50mm</t>
  </si>
  <si>
    <t>Joelho 90 graus série R 40mm</t>
  </si>
  <si>
    <t>20.4</t>
  </si>
  <si>
    <t>Junção</t>
  </si>
  <si>
    <t>Junção simples série R 50mm</t>
  </si>
  <si>
    <t>Junção simples série R 40mm</t>
  </si>
  <si>
    <t>20.5</t>
  </si>
  <si>
    <t>Luva de PVC série R 150mm</t>
  </si>
  <si>
    <t>Luva de PVC série R 100mm</t>
  </si>
  <si>
    <t>Luva de PVC série R 75mm</t>
  </si>
  <si>
    <t>Luva de PVC série R 50mm</t>
  </si>
  <si>
    <t>Luva de PVC série R 40mm</t>
  </si>
  <si>
    <t>20.6</t>
  </si>
  <si>
    <t>Redução</t>
  </si>
  <si>
    <t>Redução excêntrica série R 75x50mm</t>
  </si>
  <si>
    <t>Bucha de redução longa série R 50x40mm</t>
  </si>
  <si>
    <t>20.7</t>
  </si>
  <si>
    <t>Ligação para saída de vaso sanitário</t>
  </si>
  <si>
    <t>Adaptador para saída de vaso sanitário série N 100mm</t>
  </si>
  <si>
    <t>20.8</t>
  </si>
  <si>
    <t>Vedação para saída de vaso sanitário</t>
  </si>
  <si>
    <t>Vedação para saída de vaso sanitário série N 100mm</t>
  </si>
  <si>
    <t>20.9</t>
  </si>
  <si>
    <t>Adaptadores para sifão</t>
  </si>
  <si>
    <t>Adaptador para válvula de pia, lavatório, tanque e bebedouro série N 40x1"</t>
  </si>
  <si>
    <t>20.10</t>
  </si>
  <si>
    <t>Tê série R 100x50mm</t>
  </si>
  <si>
    <t>Tê série R 75x50mm</t>
  </si>
  <si>
    <t>Tê série R 100mm</t>
  </si>
  <si>
    <t>Tê série R 75mm</t>
  </si>
  <si>
    <t>Tê série N 50mm</t>
  </si>
  <si>
    <t>20.11</t>
  </si>
  <si>
    <t>Caixa sifonada</t>
  </si>
  <si>
    <t>20.11.1.1</t>
  </si>
  <si>
    <t>Corpo caixa sifonada 250x230x75mm</t>
  </si>
  <si>
    <t>20.11.1.2</t>
  </si>
  <si>
    <t>Corpo caixa sifonada 150x185x75mm</t>
  </si>
  <si>
    <t>Ralo seco</t>
  </si>
  <si>
    <t>20.11.2.1</t>
  </si>
  <si>
    <t>Corpo caixa seca 100x100x40mm</t>
  </si>
  <si>
    <t>20.11.3.1</t>
  </si>
  <si>
    <t>Grelha redonda de alumínio 150mm</t>
  </si>
  <si>
    <t>20.11.3.2</t>
  </si>
  <si>
    <t>Grelha redonda de alumínio 100mm</t>
  </si>
  <si>
    <t>20.11.3.3</t>
  </si>
  <si>
    <t>Grelha redonda escamoteável em aço inox, cromada, com caixilho 150mm</t>
  </si>
  <si>
    <t>20.11.3.4</t>
  </si>
  <si>
    <t>Grelha redonda escamoteável em aço inox, cromada, com caixilho 100mm</t>
  </si>
  <si>
    <t>20.11.3.5</t>
  </si>
  <si>
    <t>Calha de piso normal em PVC, cor branca, DN 130, 250cm x 129mm x 140mm</t>
  </si>
  <si>
    <t>20.11.3.6</t>
  </si>
  <si>
    <t>Grelha para calha de piso normal em PVC, cor branca, DN 130, 500mm x 128mm x 20mm</t>
  </si>
  <si>
    <t>20.11.3.7</t>
  </si>
  <si>
    <t>Antiespuma 150mm</t>
  </si>
  <si>
    <t>20.11.3.8</t>
  </si>
  <si>
    <t>Tampa cega redonda de aluminio 250mm</t>
  </si>
  <si>
    <t>20.11.3.9</t>
  </si>
  <si>
    <t>Porta grelha redondo cromado 250mm</t>
  </si>
  <si>
    <t>20.11.3.10</t>
  </si>
  <si>
    <t>Porta grelha redondo cromado 150mm</t>
  </si>
  <si>
    <t>20.11.3.11</t>
  </si>
  <si>
    <t>Porta grelha redondo cromado 100mm</t>
  </si>
  <si>
    <t>Caixa de gordura</t>
  </si>
  <si>
    <t>20.11.4.1</t>
  </si>
  <si>
    <t>Caixa de gordura dupla, 120 litros, 60x60x95 cm</t>
  </si>
  <si>
    <t>20.11.4.2</t>
  </si>
  <si>
    <t>Caixa de gordura especial, 350 litros, 80x80x105 cm</t>
  </si>
  <si>
    <t>20.11.4.3</t>
  </si>
  <si>
    <t>Tampa de ferro fundido 60x60 cm, tipo leve, para caixas de gordura dupla e especial</t>
  </si>
  <si>
    <t>Terminal de ventilação</t>
  </si>
  <si>
    <t>20.11.5.1</t>
  </si>
  <si>
    <t>Terminal de ventilação 75mm</t>
  </si>
  <si>
    <t>20.11.5.2</t>
  </si>
  <si>
    <t>Terminal de ventilação 50mm</t>
  </si>
  <si>
    <t>Caixa de inspeção em alvenaria</t>
  </si>
  <si>
    <t>20.11.6.1</t>
  </si>
  <si>
    <t>Caixa de inspeção em alvenaria 60x60cm</t>
  </si>
  <si>
    <t>20.11.6.2</t>
  </si>
  <si>
    <t>Tampa de ferro fundido tipo leve 60x60cm para caixa de inspeção</t>
  </si>
  <si>
    <t>20.11.6.3</t>
  </si>
  <si>
    <t>Caixa de inspeção em alvenaria 80x80cm</t>
  </si>
  <si>
    <t>07127/ORSE</t>
  </si>
  <si>
    <t>20.11.7.1</t>
  </si>
  <si>
    <t>Poço de visita em alvenaria com fundo em concreto, 110x110 cm</t>
  </si>
  <si>
    <t>20.11.7.2</t>
  </si>
  <si>
    <t>Tampa de ferro fundido tipo pesado Ø60cm para poço de visita</t>
  </si>
  <si>
    <t>Subtotal item 20</t>
  </si>
  <si>
    <t>21.0</t>
  </si>
  <si>
    <t>INSTALAÇÕES ELÉTRICAS E ELETRÔNICAS</t>
  </si>
  <si>
    <t>21.1</t>
  </si>
  <si>
    <t>Haste para aterramento</t>
  </si>
  <si>
    <t>Caixa de inspeção tipo solo em PVC, com tampa de ferro de 30cm.</t>
  </si>
  <si>
    <t>Conector em bronze para conecção de dois cabos com a haste.</t>
  </si>
  <si>
    <t>Subtotal item 21.1</t>
  </si>
  <si>
    <t>21.2</t>
  </si>
  <si>
    <t>Cordoalha de cobre nú</t>
  </si>
  <si>
    <t>Cordoalha de cobre nú 50mm2.</t>
  </si>
  <si>
    <t>Cordoalha de cobre nú 35mm2.</t>
  </si>
  <si>
    <t>Subtotal item 21.2</t>
  </si>
  <si>
    <t>21.3</t>
  </si>
  <si>
    <t>Quadros de Força</t>
  </si>
  <si>
    <t>C 2062 SEINFRA</t>
  </si>
  <si>
    <t>Quadro de medição completo com TC(transformador de corrente) para medição em baixa tensão, compatível com disjuntor trifásico geral de entrada de 500A, padrão da concessionária local.</t>
  </si>
  <si>
    <t>12241/ORSE</t>
  </si>
  <si>
    <t>Quadro de comando de sobrepor completo com porta e trinco, com 4 barramentos de cobre de 2"x1/4" para as fases e o neutro e 1"x3/16" para proteção.</t>
  </si>
  <si>
    <t>12226/ORSE</t>
  </si>
  <si>
    <t>Quadro de comando de embutir completo com porta e trinco, com 4 barramentos de cobre de 1/2"x1/8" para as fases e o neutro e 1/2"x1/16" para proteção.</t>
  </si>
  <si>
    <t>Quadro de comando de embutir completo com porta e trinco, com 4 barramentos de cobre de 5/8"x1/8" para as fases e o neutro e 1/2"x1/16" para proteção.</t>
  </si>
  <si>
    <t>Quadro de comando de embutir completo com porta e trinco, com 4 barramentos de cobre de 3/4"x1/8" para as fases e o neutro e 5/8"x1/16" para proteção.</t>
  </si>
  <si>
    <t>Quadro de comando de embutir completo com porta e trinco</t>
  </si>
  <si>
    <t>Subtotal item 21.3</t>
  </si>
  <si>
    <t>21.4</t>
  </si>
  <si>
    <t>Centro de distribuição de iluminação e tomadas</t>
  </si>
  <si>
    <t>Quadro de distribuição de embutir, 24 módulos (2x12) completo com barramentos 150A, placa de montagem, porta interna e perfis verticais com trilhos DIN para fixação de acessórios.</t>
  </si>
  <si>
    <t>12233/ORSE</t>
  </si>
  <si>
    <t>Quadro de distribuição de embutir, 70 módulos (2x35) completo com barramentos 150A, placa de montagem, porta interna e perfis verticais com trilhos DIN para fixação de acessórios.</t>
  </si>
  <si>
    <t>12232/ORSE</t>
  </si>
  <si>
    <t>Subtotal item 21.4</t>
  </si>
  <si>
    <t>21.5</t>
  </si>
  <si>
    <t>Eletrodutos e Acessórios</t>
  </si>
  <si>
    <t>Eletroduto metálico flexível, Ø3/4”</t>
  </si>
  <si>
    <t>Eletroduto PVC flexível corrugado reforçado, Ø3/4”</t>
  </si>
  <si>
    <t>Eletroduto PVC flexível corrugado reforçado, Ø1”</t>
  </si>
  <si>
    <t>Eletroduto de Aço Galvanizado, tipo pesado, entradas lisas,    Ø 3/4"x 3,00 m</t>
  </si>
  <si>
    <t>Eletroduto de Pead-Polietileno de alta densidade corrugado, Ø1 1/2"</t>
  </si>
  <si>
    <t>Eletroduto de Pead-Polietileno de alta densidade corrugado, Ø2"</t>
  </si>
  <si>
    <r>
      <rPr>
        <sz val="9"/>
        <rFont val="Arial"/>
        <family val="2"/>
      </rPr>
      <t>Haste de aço galvanizado recoberta com 200 micras de cobre de diâmetro nominal de 5/8" com 3 metros de
comprimento.</t>
    </r>
  </si>
  <si>
    <r>
      <rPr>
        <sz val="9"/>
        <rFont val="Arial"/>
        <family val="2"/>
      </rPr>
      <t>Quadro de distribuição de embutir, 56 módulos (2x28) completo com barramentos 225A, placa de montagem, porta interna e perfis verticais com trilhos DIN para fixação de acessórios. Ref. Comercial: CEMAR  (Ref.
QDETG UX 225A) ou equivalente.</t>
    </r>
  </si>
  <si>
    <t>Eletroduto de Pead-Polietileno de alta densidade corrugado, Ø3"</t>
  </si>
  <si>
    <t>Eletroduto de Pead-Polietileno de alta densidade corrugado, Ø4"</t>
  </si>
  <si>
    <t>Eletroduto de Pead-Polietileno de alta densidade corrugado, Ø5"</t>
  </si>
  <si>
    <t>Curva 90º de PVC, série reforçada, Ø 3/4"</t>
  </si>
  <si>
    <t>Abraçadeira de aço galvanizado,  Ø 3/4”, tipo "copo"</t>
  </si>
  <si>
    <t>Abraçadeira de aço galvanizado,  Ø 1”, tipo "copo"</t>
  </si>
  <si>
    <t>Subtotal item 21.5</t>
  </si>
  <si>
    <t>21.6</t>
  </si>
  <si>
    <t>Cabos e Fios(condutores)</t>
  </si>
  <si>
    <t>Condutor de cobre unipolar, isolação em PVC/70ºC, camada de proteção em PVC, não propagador de chamas, classe de tensão 750V, encordoamento classe 5, flexível, com as seguintes seções nominais:</t>
  </si>
  <si>
    <t>#2,5mm2</t>
  </si>
  <si>
    <t>#4mm2</t>
  </si>
  <si>
    <t>#6mm2</t>
  </si>
  <si>
    <t>Condutor de cobre unipolar, isolação em PVC/70ºC, camada de proteção em PVC, não propagador de chamas, classe de tensão 1 kV, encordoamento classe 5, flexível, com as seguintes seções nominais:</t>
  </si>
  <si>
    <t>#10mm2</t>
  </si>
  <si>
    <t>#16mm2</t>
  </si>
  <si>
    <t>#25mm2</t>
  </si>
  <si>
    <t>#35mm2</t>
  </si>
  <si>
    <t>#50mm2</t>
  </si>
  <si>
    <t>Cabo tripolar, condutor de cobre, isolação em PVC/70°C, não propagador de chama, classe de tensão, encordoamento classe 5, flexível, com as seguintes seções nominais:</t>
  </si>
  <si>
    <t>3x1,5mm2</t>
  </si>
  <si>
    <t>3x2,5mm2</t>
  </si>
  <si>
    <t>Subtotal item 21.6</t>
  </si>
  <si>
    <t>21.7</t>
  </si>
  <si>
    <t>Caixas de Passagem</t>
  </si>
  <si>
    <t>Condulete metálico, entradas lisas, tipo T, Ø3/4”.</t>
  </si>
  <si>
    <t>Condulete metálico, entradas lisas, tipo C, Ø3/4”.</t>
  </si>
  <si>
    <t>Condulete metálico, entradas lisas, tipo E, Ø3/4”.</t>
  </si>
  <si>
    <t>Condulete metálico, entradas lisas, tipo X, Ø3/4”.</t>
  </si>
  <si>
    <t>Condulete metálico, entradas lisas, tipo LR, Ø3/4”.</t>
  </si>
  <si>
    <t>Tampa para condulete metálico com entrada para tomada 2P+T</t>
  </si>
  <si>
    <t>Tampa cega para condulete metálico.</t>
  </si>
  <si>
    <t>Tampa para condulete metálico com furo</t>
  </si>
  <si>
    <t>Caixa de passagem em PVC, série reforçada, 4x2”</t>
  </si>
  <si>
    <t>Caixa de ferro esmaltada, octogonal, 4x4”</t>
  </si>
  <si>
    <t>Caixa de passagem metálica, quadrada, 20x20” com tampa</t>
  </si>
  <si>
    <t>08075/ORSE</t>
  </si>
  <si>
    <t>Caixa de passagem 20x20cm em alvenaria com tampa</t>
  </si>
  <si>
    <t>Caixa de passagem 40x40cm em alvenaria com tampa</t>
  </si>
  <si>
    <t>Subtotal item 21.7</t>
  </si>
  <si>
    <t>21.8</t>
  </si>
  <si>
    <t>Chaves com Fusíveis</t>
  </si>
  <si>
    <t>Base-fusível completa (com tampa, anel de proteção e parafuso de ajuste), fusíveis diazed de 10A.</t>
  </si>
  <si>
    <t>Base-fusível completa (com tampa, anel de proteção e parafuso de ajuste), fusíveis diazed de 6A.</t>
  </si>
  <si>
    <t>Relé térmico de sobrecarga 1,8A a 2,5A</t>
  </si>
  <si>
    <t>Contator de potência, bobina 220V/60Hz.</t>
  </si>
  <si>
    <t>Alarme sonoro, 220V/60Hz, com frequência tonal diferente do alarme contra incêndio.</t>
  </si>
  <si>
    <t>Controle do reservatório superior, composto por chave nível tipo bóia, com haste móvel e contatos reversíveis (NA,NF).</t>
  </si>
  <si>
    <t>Controle do reservatório inferior, composto por chave nível tipo bóia, com haste móvel e contatos reversíveis (NA,NF).</t>
  </si>
  <si>
    <t>Alarme de extravasamento do reservatório inferior, composto por chave nível tipo bóia, com haste móvel e contatos reversíveis (NA,NF).</t>
  </si>
  <si>
    <t>03808/ORSE</t>
  </si>
  <si>
    <t>Comutador com retenção, ф 22mm, cor preta, 3 posições (zero central), com blocos de contato 2NA+2NF.</t>
  </si>
  <si>
    <t>03807/ORSE</t>
  </si>
  <si>
    <t>Comutador com retenção, ф 22mm, cor preta, 2 posições, com blocos de contato 2NA+2NF.</t>
  </si>
  <si>
    <t>Sinalizador luminoso, redondo, aro frontal pretonas cor vermelha (vm) com lâmpada neon/220V, soquete BA9S</t>
  </si>
  <si>
    <t>Sinalizador luminoso, redondo, aro frontal pretonas cor âmbar (am) com lâmpada neon/220V, soquete BA9S</t>
  </si>
  <si>
    <t>Subtotal item 21.8</t>
  </si>
  <si>
    <t>21.9</t>
  </si>
  <si>
    <t>Disjuntores</t>
  </si>
  <si>
    <t>Mini-Disjuntor monopolar, tipo 5Sx1, curva C, 20A</t>
  </si>
  <si>
    <t>Mini-Disjuntor monopolar, tipo 5Sx1, curva C, 25A</t>
  </si>
  <si>
    <t>Mini-Disjuntor tripolar, tipo 5Sx1, curva C, 10A</t>
  </si>
  <si>
    <t>Mini-Disjuntor tripolar, tipo 5Sx2, curva C, 20A</t>
  </si>
  <si>
    <t>Mini-Disjuntor tripolar, tipo 5Sx2, curva C, 32A</t>
  </si>
  <si>
    <t>Mini-Disjuntor tripolar, tipo 5Sx2, curva C, 50A</t>
  </si>
  <si>
    <t>00452/ORSE</t>
  </si>
  <si>
    <t>Mini-Disjuntor tripolar, tipo 5Sx1, curva C, 63A</t>
  </si>
  <si>
    <t>09004/ORSE</t>
  </si>
  <si>
    <t>Mini-Disjuntor tripolar, tipo 5Sx1, curva C, 80A</t>
  </si>
  <si>
    <t>Disjuntor tripolar, 3VF23-13, DIN= 20A, Icc = 25 kA/380V</t>
  </si>
  <si>
    <t>Disjuntor tripolar, 3VF23-13, DIN= 32A, Icc = 255 kA/380V</t>
  </si>
  <si>
    <t>Disjuntor tripolar, 3VF23-13, DIN= 500A, Icc = 25 kA/380V</t>
  </si>
  <si>
    <t>11431/ORSE</t>
  </si>
  <si>
    <t>Disjuntor tripolar, 3VF23-13, DIN= 80A, Icc = 25 kA/380V</t>
  </si>
  <si>
    <t>11267/ORSE</t>
  </si>
  <si>
    <t>Disjuntor tripolar, JXD63B250, DIN= 200A, Icu = 35 kA/380V, tensão nominal máxima 415V</t>
  </si>
  <si>
    <t>Módulo Diferencial Residual (DDR) de alta sensibilidade, bipolar, 25A com corrente nominal residual de 30mA.</t>
  </si>
  <si>
    <t>Módulo Diferencial Residual (DDR) de alta sensibilidade, tetrapolar, 25A com corrente nominal residual de 30mA.</t>
  </si>
  <si>
    <t>08894/ORSE</t>
  </si>
  <si>
    <t>Dispositivo de Proteção contra Surtos (DPS), monopolar, tensão nominal máxima 275 VCA, corrente de surto máxima 40kA</t>
  </si>
  <si>
    <t>Subtotal item 21.9</t>
  </si>
  <si>
    <t>21.10</t>
  </si>
  <si>
    <t>Iluminação e Tomadas</t>
  </si>
  <si>
    <t>00673/ORSE</t>
  </si>
  <si>
    <t>Luminária de sobrepor completa com 2 lâmpadas fluorescentes tubulares de 32W com reator eletrônico duplo</t>
  </si>
  <si>
    <t>07740/ORSE</t>
  </si>
  <si>
    <t>Luminária de sobrepor completa com 2 lâmpadas fluorescentes tubulares de 16W com reator eletrônico duplo</t>
  </si>
  <si>
    <t>Arandela completa com uma lâmpada incandescente de 60W comandada por dimmer.</t>
  </si>
  <si>
    <t>Arandela completa com uma lâmpada fluorescente compacta de 20W.</t>
  </si>
  <si>
    <t>07260/ORSE</t>
  </si>
  <si>
    <t>Projetor completo com uma lâmpada a vapor metálico de 250W, ignitor e reator eletrônico de alta freqüência, alto fator de potência e baixa taxa de distorção harmônica (FP &gt; 0,92 e THD &lt; 10%).</t>
  </si>
  <si>
    <t>07259/ORSE</t>
  </si>
  <si>
    <t>Projetor completo com uma lâmpada a vapor metálico de 150W, ignitor e reator eletrônico de alta freqüência, alto fator de potência e baixa taxa de distorção harmônica (FP &gt; 0,92 e THD &lt; 10%).</t>
  </si>
  <si>
    <t>Luminária de embutir em piso completa com uma lâmpada a vapor metálico de 70W, grau de proteção IP 65 (proteção hermética contra poeira e proteção contra jatos d´água), com ignitor e reator eletrônico de alta freqüência, alto fator de potência e baixa taxa de distorção harmônica (FP &gt; 0,92 e THD &lt; 10%).</t>
  </si>
  <si>
    <t>Subtotal item 21.10</t>
  </si>
  <si>
    <t>21.11</t>
  </si>
  <si>
    <t>Interruptores</t>
  </si>
  <si>
    <t>Interruptor simples para montagem em paineis, 8A/250V.</t>
  </si>
  <si>
    <t>Interruptor simples, 10A, 250V</t>
  </si>
  <si>
    <t>Interruptor 2 seções, 10A por seção, 250V</t>
  </si>
  <si>
    <t>Interruptor 3 seções, 10A por seção, 250V</t>
  </si>
  <si>
    <t>Interruptor paralelo (three way) 1 seção, 10A por seção, 250V</t>
  </si>
  <si>
    <t>Interruptor paralelo (three way) 2 seções, 10A por seção, 250V</t>
  </si>
  <si>
    <t>Interruptor paralelo (three way) 3 seções, 10A por seção, 250V</t>
  </si>
  <si>
    <t>Suporte de interruptor simples para duto em aço perfil revestido com pintura em epóxi a pó.</t>
  </si>
  <si>
    <t>Variador de luminosidade rotativo (dimmer) 220V/300W com espelho.</t>
  </si>
  <si>
    <t>Espelho 4x2" com entrada para interruptor simples.</t>
  </si>
  <si>
    <t>Espelho 4x2" com entrada para interruptor de 2 seções.</t>
  </si>
  <si>
    <t>Espelho 4x2" com entrada para interruptor de 3 seções.</t>
  </si>
  <si>
    <t>Espelho 4x4" com entrada para dois módulos de interruptores de 3 seções.</t>
  </si>
  <si>
    <t>Subtotal item 21.11</t>
  </si>
  <si>
    <t>21.12</t>
  </si>
  <si>
    <t>Tomadas</t>
  </si>
  <si>
    <t>Tomada universal, quadrada, 2P+T, 15A/250V, cor preta.</t>
  </si>
  <si>
    <t>Suporte de tomadas para duto em aço perfil revestido com pintura em epóxi a pó, com entrada para duas tomadas quadradas 2P+T.</t>
  </si>
  <si>
    <t>08818/ORSE</t>
  </si>
  <si>
    <t>Tomada universal, circular, 2P+T, 15A/250V, cor preta.</t>
  </si>
  <si>
    <t>09422/ORSE</t>
  </si>
  <si>
    <t>Tomada universal, circular, 3P, 20A/250V, cor preta.</t>
  </si>
  <si>
    <t>Espelho com entrada para tomada circular 2P+T.</t>
  </si>
  <si>
    <t>Espelho com furo.</t>
  </si>
  <si>
    <t>Subtotal item 21.12</t>
  </si>
  <si>
    <t>21.13</t>
  </si>
  <si>
    <t>Fixadores</t>
  </si>
  <si>
    <t>04190/ORSE</t>
  </si>
  <si>
    <t>21.13.1</t>
  </si>
  <si>
    <t>Chubadores 3/8"CBA</t>
  </si>
  <si>
    <t>21.13.2</t>
  </si>
  <si>
    <t>Parafuso e bucha S6</t>
  </si>
  <si>
    <t>21.13.3</t>
  </si>
  <si>
    <t>Suspensão simples para tirante 1/4"</t>
  </si>
  <si>
    <t>21.13.4</t>
  </si>
  <si>
    <t>Suspensão para luminária</t>
  </si>
  <si>
    <t>21.13.5</t>
  </si>
  <si>
    <t>Porca sextavada e arruela lisa 1/4"</t>
  </si>
  <si>
    <t>21.13.6</t>
  </si>
  <si>
    <t>Vergalhão rosca total 1/4"</t>
  </si>
  <si>
    <t>Subtotal item 21.13</t>
  </si>
  <si>
    <t>21.14</t>
  </si>
  <si>
    <t>ATERRAMENTO E PROTEÇÃO CONTRA DESCARGAS ATMOSFÉRICAS</t>
  </si>
  <si>
    <t>21.14.1</t>
  </si>
  <si>
    <t>Captores</t>
  </si>
  <si>
    <t>21.14.1.1</t>
  </si>
  <si>
    <t>Pára-raios, tipo Franklin</t>
  </si>
  <si>
    <t>pç</t>
  </si>
  <si>
    <t>21.14.1.2</t>
  </si>
  <si>
    <t>Cordoalha de cobre nu, têmpera dura, 35mm²</t>
  </si>
  <si>
    <t>10908/ORSE</t>
  </si>
  <si>
    <t>21.14.1.3</t>
  </si>
  <si>
    <t>Barra de aço galvanizado, Ø10mm x 6,00m</t>
  </si>
  <si>
    <t>21.14.2</t>
  </si>
  <si>
    <t>Conectores e Terminais</t>
  </si>
  <si>
    <t>21.14.2.1</t>
  </si>
  <si>
    <t>Conector  de bronze fosforoso, haste de 5/8"/cabo de 50 mm²</t>
  </si>
  <si>
    <t>08440/ORSE</t>
  </si>
  <si>
    <t>21.14.2.2</t>
  </si>
  <si>
    <t>Conector  de bronze,"split bolt" para  cordoalha de 35 mm²</t>
  </si>
  <si>
    <t>21.14.2.3</t>
  </si>
  <si>
    <t>Conector  de furo vertical, Ø10mm/cabo de 35 mm²</t>
  </si>
  <si>
    <t>08389/ORSE</t>
  </si>
  <si>
    <t>21.14.2.4</t>
  </si>
  <si>
    <t>Clips de aço galvanizado a fogo, Ø10mm</t>
  </si>
  <si>
    <t>21.14.3</t>
  </si>
  <si>
    <t>Cabos de Descida</t>
  </si>
  <si>
    <t>21.14.3.1</t>
  </si>
  <si>
    <t>21.14.4</t>
  </si>
  <si>
    <t>Eletrodos de Terra</t>
  </si>
  <si>
    <t>21.14.4.1</t>
  </si>
  <si>
    <t>09379/ORSE</t>
  </si>
  <si>
    <t>21.14.4.2</t>
  </si>
  <si>
    <t>Haste de aço revestida de camada de cobre, 200microns, no mínimo, Ø 5/8" x 3,00m</t>
  </si>
  <si>
    <t>21.14.4.3</t>
  </si>
  <si>
    <t>Cordoalha de cobre nu , 50 mm²</t>
  </si>
  <si>
    <t>21.14.5</t>
  </si>
  <si>
    <t>Caixa de inspeção</t>
  </si>
  <si>
    <t>04718/ORSE</t>
  </si>
  <si>
    <t>21.14.5.1</t>
  </si>
  <si>
    <t>Caixa de inspeção, PVC de 12", com tampa de aço galvanizado,conforme detalhe no projeto</t>
  </si>
  <si>
    <t>Subtotal item 21.14</t>
  </si>
  <si>
    <t>Subtotal item 21</t>
  </si>
  <si>
    <t>22.0</t>
  </si>
  <si>
    <t>INSTALAÇÕES DE REDE ESTRUTURADA</t>
  </si>
  <si>
    <t>22.1</t>
  </si>
  <si>
    <t>Equipamentos Passivos</t>
  </si>
  <si>
    <t>Patch Panel 19"  - 24 portas, Categoria 6</t>
  </si>
  <si>
    <t>Bloco 110 para rack 19” 100 pares 1,75” de altura</t>
  </si>
  <si>
    <t>00520/ORSE</t>
  </si>
  <si>
    <t>Guia de Cabos Frontal, fechado</t>
  </si>
  <si>
    <t>Guia de Cabos Traseiro</t>
  </si>
  <si>
    <t>Trava Patch Panel</t>
  </si>
  <si>
    <t>Guia de Cabos Vertical, fechado</t>
  </si>
  <si>
    <t>Guia de Cabos Superior, fechado</t>
  </si>
  <si>
    <t>22.2</t>
  </si>
  <si>
    <t>Cabos em par trançados</t>
  </si>
  <si>
    <t>Cabo par trançado não blindado (UTP)-4 pares 24 AWG,100 Ohms - Categoria 6</t>
  </si>
  <si>
    <t>Cabo telefônico interno CI-50, 20 pares</t>
  </si>
  <si>
    <t>22.3</t>
  </si>
  <si>
    <t>Cabos de Conexão</t>
  </si>
  <si>
    <t>Cabos de conexões – Patch Cord ultra flexível com RJ 45 nas 2 pontas - 1,50 metros</t>
  </si>
  <si>
    <t>Cabos de conexões – Patch Cord ultra flexível com RJ 45 em 1 ponta - 1,50 metros</t>
  </si>
  <si>
    <t>Cabos de conexões – Patch Cord (Azul) ultra flexível com RJ 45 nas 2 pontas - 3,00 metros</t>
  </si>
  <si>
    <t>Cabos de conexões – Patch cord 110 / RJ-45 1 par -1,50m</t>
  </si>
  <si>
    <t>22.4</t>
  </si>
  <si>
    <t>Tomada modular RJ-45 Categoria 6</t>
  </si>
  <si>
    <t>Conector de TV Tipo F (Coaxial)</t>
  </si>
  <si>
    <t>22.5</t>
  </si>
  <si>
    <t>Caixas e acessórios</t>
  </si>
  <si>
    <t>Condulete metálico, tipo C, para eletroduto de ponta lisa, Ø 3/4"</t>
  </si>
  <si>
    <t>Caixa subterrânea em alvenaria, tipo R1,60x35x50cm, com tampão em ferro fundido</t>
  </si>
  <si>
    <t>Caixa de sobrepor, em aço estampado com pintura eletrostática à base de epoxi, na cor cinza, com fundo de madeira de lei envernizada, porta com trinco e fechadura, 80X80X20cm</t>
  </si>
  <si>
    <t>Tampa para condulete metálico com espaço para 2 módulos RJ-45</t>
  </si>
  <si>
    <t>Espelho para caixa 4x2" com espaço para 2 módulos RJ-45</t>
  </si>
  <si>
    <t>Tampa para condulete metálico com espaço uma tomada tipo F</t>
  </si>
  <si>
    <t>Espelho para caixa 4x2" com espaço uma tomada tipo F (Cabo coaxial de TV)</t>
  </si>
  <si>
    <t>Caixa - 4x2" - aço estampado e esmaltado</t>
  </si>
  <si>
    <t>22.6</t>
  </si>
  <si>
    <t>Eletrodutos metálicos ultra-flexíveis aspirado:</t>
  </si>
  <si>
    <t>Ø 1"</t>
  </si>
  <si>
    <t>Ø 3/4"</t>
  </si>
  <si>
    <t>Eletroduto de aço galvanizado a quente, tipo pesado</t>
  </si>
  <si>
    <t>Eletroduto de aço galvanizado a quente, tipo pesado, rosqueável</t>
  </si>
  <si>
    <t>Eletroduto de PEAD flexível corrugado</t>
  </si>
  <si>
    <t>Ø 4"</t>
  </si>
  <si>
    <t>Abraçadeira de aço galvanizado a quente, tipo "D", para eletrodutos</t>
  </si>
  <si>
    <t>Chumbador CBA com parafuso e arruela lisa, Ø1/4"X2"</t>
  </si>
  <si>
    <t>Bucha S/8</t>
  </si>
  <si>
    <t>Parafuso, rosca soberba, cabeça sextavada, 1/4"x2", aço galvanizado</t>
  </si>
  <si>
    <t>Porca sextavada, aço galvanizado a quente, Ø1/4"</t>
  </si>
  <si>
    <t>Arruela lisa, aço galvanizado a quente, Ø1/4"</t>
  </si>
  <si>
    <t>22.7</t>
  </si>
  <si>
    <t>Eletrocalhas, Perfilados e Acessórios</t>
  </si>
  <si>
    <t>Eletrocalha com virola (perfil "C"), lisa, em aço galvanizado a quente, com tampa, chapa #18 MSG, 100x50x3000mm</t>
  </si>
  <si>
    <t>Curva Horizontal 90°, lisa, com tampa,100x50mm</t>
  </si>
  <si>
    <t>Te Vertical de Descida, liso, com tampa,100x50mm</t>
  </si>
  <si>
    <t>Te Horizontal 90°, liso, com tampa,100x50mm</t>
  </si>
  <si>
    <t>Saída Vertical p/ eletrodutos, Ø3/4"</t>
  </si>
  <si>
    <t>Terminal de fechamento, 100x50mm</t>
  </si>
  <si>
    <t>Junção Simples, 50mm</t>
  </si>
  <si>
    <t>Mão Francesa, 38x38x210 mm</t>
  </si>
  <si>
    <t>Parafuso cabeça lentilha, com fenda, Ø1/4"</t>
  </si>
  <si>
    <t>Parafuso cabeça lentilha, autotravante, Ø1/4"</t>
  </si>
  <si>
    <t>Suspensão ômega, 100x50mm</t>
  </si>
  <si>
    <t>Porca losangular com mola, Ø1/4"</t>
  </si>
  <si>
    <t>Vergalhão rosca total (tirante),em aço galvanizado a quente, Ø1/4"x3000mm</t>
  </si>
  <si>
    <t>Arruela lisa, em aço galvanizado a quente, Ø1/4"</t>
  </si>
  <si>
    <t>Box reto Ø3/4" em alumínio</t>
  </si>
  <si>
    <t>22.8</t>
  </si>
  <si>
    <t>Dutos de passagem e Acessórios</t>
  </si>
  <si>
    <t>Perfil base sem tampa em aço 129 x 44 x 2000mm</t>
  </si>
  <si>
    <t>Divisor “L” 2000mm.</t>
  </si>
  <si>
    <t>Tampa perfil acabamento na cor bege 1000mm.</t>
  </si>
  <si>
    <t>Derivação "L"</t>
  </si>
  <si>
    <t>Fixa cabo</t>
  </si>
  <si>
    <t>Terminal</t>
  </si>
  <si>
    <t>Suporte de tomada tipo RJ, 2 furos, bege</t>
  </si>
  <si>
    <t>22.9</t>
  </si>
  <si>
    <t>Teste de desempenho dos pontos lógicos (voz e dados)</t>
  </si>
  <si>
    <t>Pontos lógicos, categoria 6</t>
  </si>
  <si>
    <t>Subtotal item 22</t>
  </si>
  <si>
    <t>23.0</t>
  </si>
  <si>
    <t>INSTALAÇÕES MECÂNICAS E DE UTILIDADES (AR CONDICIONADO CENTRAL)</t>
  </si>
  <si>
    <t>23.1</t>
  </si>
  <si>
    <t>Gaiola anti-furto em aço para aparelho condicionador de janela 30 kBTU/h</t>
  </si>
  <si>
    <t>Gaiola anti-furto em aço para aparelho condicionador de janela 21 kBTU/h</t>
  </si>
  <si>
    <t>Gaiola anti-furto em aço para aparelho condicionador de janela 10 kBTU/h</t>
  </si>
  <si>
    <t>Subtotal item 23.1</t>
  </si>
  <si>
    <t>23.2</t>
  </si>
  <si>
    <t>VENTILAÇÃO MECÂNICA</t>
  </si>
  <si>
    <t>REDE DE DUTOS</t>
  </si>
  <si>
    <t>23.2.1.1</t>
  </si>
  <si>
    <t>23.2.1.2</t>
  </si>
  <si>
    <t>23.2.1.3</t>
  </si>
  <si>
    <t>Boca de ar tipo saída para descarga horizontal com filtro em tela ø 40 cm</t>
  </si>
  <si>
    <t>23.2.1.4</t>
  </si>
  <si>
    <t>Conexão tipo curva ø 19,5 cm</t>
  </si>
  <si>
    <t>23.2.1.5</t>
  </si>
  <si>
    <t>Conexão tipo curva ø 40 cm</t>
  </si>
  <si>
    <t>23.2.1.6</t>
  </si>
  <si>
    <t>Conexão alargadora de seção (expansão ø 19,5 / ø 40 cm)</t>
  </si>
  <si>
    <t>EQUIPAMENTOS AUXILIARES</t>
  </si>
  <si>
    <t>23.2.2.1</t>
  </si>
  <si>
    <t>Coifa industrial simples de exaustão tipo "ilha" 60 x 90 com descarga centrada circular ø 19,5 cm</t>
  </si>
  <si>
    <t>23.2.3.1</t>
  </si>
  <si>
    <t>Apoio simples ("berço") para tubulação horizontal de exaustão ø 40 cm</t>
  </si>
  <si>
    <t>23.2.3.2</t>
  </si>
  <si>
    <t>Apoio simples ("berço") para tubulação horizontal de exaustão ø 19,5 cm</t>
  </si>
  <si>
    <t>23.2.3.3</t>
  </si>
  <si>
    <t>Apoio simples ("berço") para tubulação vertical de exaustão ø 40 cm</t>
  </si>
  <si>
    <t>23.2.3.4</t>
  </si>
  <si>
    <t>Abraçadeira simples para duto de exaustão ø 40 cm</t>
  </si>
  <si>
    <t>Subtotal item 23.2</t>
  </si>
  <si>
    <t>Subtotal item 23</t>
  </si>
  <si>
    <t>24.0</t>
  </si>
  <si>
    <t>GÁS COMBUSTÍVEL</t>
  </si>
  <si>
    <t>24.1</t>
  </si>
  <si>
    <t>TUBULAÇÕES DE AÇO CARBONO E CONEXÕES DE FERRO MALEÁVEL</t>
  </si>
  <si>
    <t>24.1.1.1</t>
  </si>
  <si>
    <t>Tubo de aço sem costura SCH-40 ASTM A-106, diâmetro 3/4"</t>
  </si>
  <si>
    <t>24.1.1.2</t>
  </si>
  <si>
    <t>Tubo de aço sem costura SCH-40 ASTM A-106, diâmetro 1/2"</t>
  </si>
  <si>
    <t>24.1.2.1</t>
  </si>
  <si>
    <t>Tê de redução NPT classe 300, roscável, diâmetro 3/4"x1/2"</t>
  </si>
  <si>
    <t>24.1.3.1</t>
  </si>
  <si>
    <t>Luva de redução FG NPT classe 300, roscável, diâmetro 3/4"x1/2"</t>
  </si>
  <si>
    <t>24.1.3.2</t>
  </si>
  <si>
    <t>Luva de redução FG NPT classe 300, roscável, diâmetro 1/2"x1/4"</t>
  </si>
  <si>
    <t>24.1.4.1</t>
  </si>
  <si>
    <t>Niple NPT classe 300, diâmetro 3/4"</t>
  </si>
  <si>
    <t>24.1.4.2</t>
  </si>
  <si>
    <t>Niple NPT classe 300, diâmetro 1/2"</t>
  </si>
  <si>
    <r>
      <t>Duto para exaustão de ar ø 19,5 cm chapa galvanizada ( 4 kg/m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</si>
  <si>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Duto para exaustão de ar ø 40 cm chapa galvanizada ( 4 kg/m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</si>
  <si>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Meia luva</t>
  </si>
  <si>
    <t>24.1.5.1</t>
  </si>
  <si>
    <t>Meia luva com assento para solda NPT classe 300, diâmetro 3/4"</t>
  </si>
  <si>
    <t>24.1.6.1</t>
  </si>
  <si>
    <t>União NPT classe 300, diâmetro 3/4"</t>
  </si>
  <si>
    <t>Cotovelo</t>
  </si>
  <si>
    <t>24.1.7.1</t>
  </si>
  <si>
    <t>Cotovelo FG NPT classe 300, diâmetro 3/4"</t>
  </si>
  <si>
    <t>24.1.7.2</t>
  </si>
  <si>
    <t>Cotovelo FG NPT classe 300, diâmetro 1/2"</t>
  </si>
  <si>
    <t>Válvula</t>
  </si>
  <si>
    <t>24.1.8.1</t>
  </si>
  <si>
    <t>Válvula esfera NPT classe 300, diâmetro 3/4"</t>
  </si>
  <si>
    <t>Tampão</t>
  </si>
  <si>
    <t>24.1.9.1</t>
  </si>
  <si>
    <t>Tampão NPT classe 300, diâmetro 3/4"</t>
  </si>
  <si>
    <t>24.1.9.2</t>
  </si>
  <si>
    <t>Tampão NPT classe 300, diâmetro 1/4"</t>
  </si>
  <si>
    <t>24.2</t>
  </si>
  <si>
    <t>EQUIPAMENTOS E ACESSÓRIOS</t>
  </si>
  <si>
    <t>Pig Tail</t>
  </si>
  <si>
    <t>24.2.1.1</t>
  </si>
  <si>
    <t>Pig tail flexível de borracha para botijão P45</t>
  </si>
  <si>
    <t>Regulador</t>
  </si>
  <si>
    <t>24.2.2.1</t>
  </si>
  <si>
    <t>Regulador de 1° estágio, NPT, com manômetro, diâmetro 1/2"</t>
  </si>
  <si>
    <t>24.2.2.2</t>
  </si>
  <si>
    <t>Regulador de 2° estágio, baixa pressão, NPT com registro</t>
  </si>
  <si>
    <t>Registro</t>
  </si>
  <si>
    <t>24.2.3.1</t>
  </si>
  <si>
    <t>Registro de linha NPT 1/2" x SAE 3/8"</t>
  </si>
  <si>
    <t>Manômetro</t>
  </si>
  <si>
    <t>Manômetro com caixa em aço carbono, 0-300 psi, NPT entrada 1/4"</t>
  </si>
  <si>
    <t>Braçadeira</t>
  </si>
  <si>
    <t>24.2.4.1</t>
  </si>
  <si>
    <t>Braçadeira metálica tipo ômega para tubo diâmetro 3/4"</t>
  </si>
  <si>
    <t>Subtotal item 24</t>
  </si>
  <si>
    <t>25.0</t>
  </si>
  <si>
    <t>INSTALAÇÕES DE COMBATE E PREVENÇÃO A INCÊNDIO</t>
  </si>
  <si>
    <t>25.1</t>
  </si>
  <si>
    <t>Extintor PQS tipo ABC - 6kg</t>
  </si>
  <si>
    <t>Suporte tipo L para extintor</t>
  </si>
  <si>
    <t>Suporte tipo bandeja para bloco autônomo de emergência (2x55W)</t>
  </si>
  <si>
    <t>Bloco autônomo 2x7W para iluminação de emergência nos ambientes</t>
  </si>
  <si>
    <t>Bloco autônomo 2x7W para saída de emergência, com indicação "SAÍDA"</t>
  </si>
  <si>
    <t>Bloco autônomo 2x55W para iluminação de emergência no pátio</t>
  </si>
  <si>
    <t>Sinalizador fotoluminescente de saída para direita</t>
  </si>
  <si>
    <t>Sinalizador fotoluminescente de saída para esquerda</t>
  </si>
  <si>
    <t>Sinalizador fotoluminescente para extintor</t>
  </si>
  <si>
    <t>Sinalizador fotoluminescente “Proibido Fumar”</t>
  </si>
  <si>
    <t>Sinalizador fotoluminescente “Proibido produzir chamas”</t>
  </si>
  <si>
    <t>Sinalizador fotoluminescente “Cuidado, risco de incêndio”</t>
  </si>
  <si>
    <t>Sinalizador fotoluminescente “Cuidado, risco de choque elétrico”</t>
  </si>
  <si>
    <t>Subtotal item 25</t>
  </si>
  <si>
    <t>26.0</t>
  </si>
  <si>
    <t>SERVIÇOS FINAIS</t>
  </si>
  <si>
    <t>26.1</t>
  </si>
  <si>
    <t>Limpeza final da obra</t>
  </si>
  <si>
    <t>Sub-total item 26</t>
  </si>
  <si>
    <t>27.0</t>
  </si>
  <si>
    <t>SERVIÇOS ADICIONAIS</t>
  </si>
  <si>
    <t>27.1</t>
  </si>
  <si>
    <t>MURO</t>
  </si>
  <si>
    <t>ESCAVAÇÃO MANUAL PARA BLOCO DE COROAMENTO OU SAPATA, COM PREVISÃO DE FÔRMA</t>
  </si>
  <si>
    <t>LASTRO DE CONCRETO MAGRO, APLICADO EM BLOCOS DE COROAMENTO OU SAPATAS</t>
  </si>
  <si>
    <t>MONTAGEM DE ARMADURA TRANSVERSAL DE ESTACAS DE SEÇÃO RETANGULAR ), DIÂMETRO = 5.0 MM</t>
  </si>
  <si>
    <t>MONTAGEM DE ARMADURA TRANSVERSAL DE ESTACAS DE SEÇÃO RETANGULAR ), DIÂMETRO = 8.0 MM</t>
  </si>
  <si>
    <t>CONCRETO 25 MPA</t>
  </si>
  <si>
    <t>LANÇAMENTO COM USO DE BALDES, ADENSAMENTO E ACABAMENTO DE CONCRETO EM ESTRUTURAS</t>
  </si>
  <si>
    <t>REATERRO MANUAL APILOADO COM SOQUETE</t>
  </si>
  <si>
    <t>PORTAO DE FERRO EM CHAPA GALVANIZADA PLANA 14 GSG COM PINTURA EM ESMALTE SINTÉTICO</t>
  </si>
  <si>
    <t>ALVENARIA DE VEDAÇÃO DE BLOCOS CERÂMICOS FURADOS NA HORIZONTAL DE 9X19X19CM (ESPESSURA 9CM) DE PAREDES COM ÁREA LÍQUIDA MAIOR OU IGUAL A 6M² SEM VÃOS E ARGAMASSA DE ASSENTAMENTO COM PREPARO EM BETONEIRA</t>
  </si>
  <si>
    <t>73937/001</t>
  </si>
  <si>
    <t>COBOGO DE CONCRETO (ELEMENTO VAZADO), 7X50X50CM, ASSENTADO COM ARGAMASSA TRACO 1:4</t>
  </si>
  <si>
    <t>CHAPISCO APLICADO EM ALVENARIAS E ESTRUTURAS DE CONCRETO INTERNAS, COM COLHER DE PEDREIRO. ARGAMASSA TRAÇO 1:3 COM PREPARO MANUAL</t>
  </si>
  <si>
    <t>REBOCO</t>
  </si>
  <si>
    <t>PINTURA ACRÍLICA SEM MASSA CORRIDA</t>
  </si>
  <si>
    <t>Subtotal item 27.1</t>
  </si>
  <si>
    <t>27.2</t>
  </si>
  <si>
    <t>PAVIMENTAÇÃO EXTERNA</t>
  </si>
  <si>
    <t>EXECUÇÃO DE PATIO/ESTACIONAMENTO EM PISO INTERTRAVADO, BLOCO RETANGULAR DE 20 x 10 CM, ESPESSURA DE 8 CM.</t>
  </si>
  <si>
    <t>ASSENTAMENTO DE GUIA (MEIO-FIO) EM TRECHO RETO, CONFECCIONADA EM CONCRETO PRÉ- FABRICADO, DIMENSÕES 100X15X13X30 CM (COMPRIMENTO X BASE INFERIOR X BASE SUPERIOR X ALTURA), PARA VIAS URBANAS (USO VIÁRIO)</t>
  </si>
  <si>
    <t>Subtotal item 27.2</t>
  </si>
  <si>
    <t>Sub-total item 27</t>
  </si>
  <si>
    <t>CUSTO TOTAL</t>
  </si>
  <si>
    <t>Fundações - Sapatas</t>
  </si>
  <si>
    <t>2.2</t>
  </si>
  <si>
    <t>2.2.1</t>
  </si>
  <si>
    <t>2.2.2</t>
  </si>
  <si>
    <t>2.2.3</t>
  </si>
  <si>
    <t>2.2.4</t>
  </si>
  <si>
    <t>10.8</t>
  </si>
  <si>
    <t>Sub-total item 27.1</t>
  </si>
  <si>
    <t>SUPERAÇÃO DE INCONFORMIDADES</t>
  </si>
  <si>
    <t>DEMOLIÇÃO DE PILARES E VIGAS EM CONCRETO ARMADO, DE FORMA MECANIZADA COM MARTELETE, SEM REAPROVEITAMENTO.</t>
  </si>
  <si>
    <t>CARGA MANUAL DE ENTULHO EM CAMINHAO BASCULANTE 6 M3</t>
  </si>
  <si>
    <t>Sub-total item 27.2</t>
  </si>
  <si>
    <t>Marcação 1ª fiada alvenaria de bloco cerâmico, espessura de 14 cm</t>
  </si>
  <si>
    <t>4.1.8</t>
  </si>
  <si>
    <t>CRECHE PROINFÂNCIA TIPO B SALVE DEUS</t>
  </si>
  <si>
    <t>BAIRRO: VILA AMORIM</t>
  </si>
  <si>
    <t>BAIRRO: RIBEIRÃO</t>
  </si>
  <si>
    <r>
      <rPr>
        <b/>
        <sz val="9"/>
        <rFont val="Arial"/>
        <family val="2"/>
      </rPr>
      <t>PR. UNIT.
S/ BDI (R$)</t>
    </r>
  </si>
  <si>
    <t>PR. UNIT. C/BDI (R$)</t>
  </si>
  <si>
    <t>Total</t>
  </si>
  <si>
    <t>QUANT. PERIODO</t>
  </si>
  <si>
    <t>QUANT. ACUMULADA</t>
  </si>
  <si>
    <t>VALORES NO PERIODO</t>
  </si>
  <si>
    <t>VALORES ACUMULADOS</t>
  </si>
  <si>
    <t>PERCENTUAL ACUMULADO</t>
  </si>
  <si>
    <t>BOLETIM DE MEDIÇÃO N° 01</t>
  </si>
  <si>
    <t xml:space="preserve">EMPRESA CONTRATADA: PJ CONTRUÇÕES E TERRAPLAGEM LTDA </t>
  </si>
  <si>
    <t>CONTRATO N°</t>
  </si>
  <si>
    <t>079/2019</t>
  </si>
  <si>
    <t>PERIODO MEDIÇÃO</t>
  </si>
  <si>
    <t>08/04/2019 Á 06/05/2019</t>
  </si>
  <si>
    <t xml:space="preserve">OBJETIVO: CONCLUSÃO DE TRÊS ESCOLAS INFANTIL / CRECHES </t>
  </si>
  <si>
    <t>DATA DA MEDIÇÃO</t>
  </si>
  <si>
    <t>DATA O.S</t>
  </si>
  <si>
    <t xml:space="preserve">VALOR CONTRATUAL </t>
  </si>
  <si>
    <t>DATA CONCLUSÃO</t>
  </si>
  <si>
    <t>VALOR DA MEDIÇÃO</t>
  </si>
  <si>
    <t xml:space="preserve">LOCAL: BAIRRO RIBEIRÃO  - BARREIRAS - BA  / OBRA CRECHE VILA AMORIM </t>
  </si>
  <si>
    <t>_______________________________________</t>
  </si>
  <si>
    <t>___________________________________</t>
  </si>
  <si>
    <t xml:space="preserve">              _____________________________________________________________</t>
  </si>
  <si>
    <t xml:space="preserve">Resp.  PJ Construções e Terraplanagem LTDA </t>
  </si>
  <si>
    <t>Resp. Técnico Fiscalização: Nei Frederico</t>
  </si>
  <si>
    <t xml:space="preserve">            Secretária  Municipal de Educação, Cultura, Espote e Lazer: Cátia Pereira</t>
  </si>
  <si>
    <t>Representante do Tomador /Ag. Promotor ou</t>
  </si>
  <si>
    <t>CREA:  0517481987</t>
  </si>
  <si>
    <t>CREA: 101562139-2</t>
  </si>
  <si>
    <t xml:space="preserve">            Portaria n° 301.2017 de 16/03/2017</t>
  </si>
  <si>
    <t>tomador</t>
  </si>
  <si>
    <t>ART:</t>
  </si>
  <si>
    <t>ART: BA20190073074</t>
  </si>
  <si>
    <t>Nome: João Barbosa de Souza Sobrinho</t>
  </si>
  <si>
    <t xml:space="preserve">Cargo:   Prefeito Municipal </t>
  </si>
  <si>
    <t>SALDO</t>
  </si>
  <si>
    <t>PERCENTUALMEDIDO</t>
  </si>
  <si>
    <t>PERCENTUAL ACUMULAD</t>
  </si>
  <si>
    <t>%</t>
  </si>
  <si>
    <t>VALOR MEDIÇÃO R$</t>
  </si>
  <si>
    <t>MEDIDO  ACUMULADO R$</t>
  </si>
  <si>
    <t>SALDO R$</t>
  </si>
  <si>
    <t xml:space="preserve">VALOR CONTRATUAL R$ </t>
  </si>
  <si>
    <t>Subtotal item 22.6</t>
  </si>
  <si>
    <t>Subtotal item 22.8</t>
  </si>
  <si>
    <t>22.8.1</t>
  </si>
  <si>
    <t>Subtotal item 22.1</t>
  </si>
  <si>
    <t>Subtotal item 22.2</t>
  </si>
  <si>
    <t>22.2.1</t>
  </si>
  <si>
    <t>22.2.2</t>
  </si>
  <si>
    <t>22.2.3</t>
  </si>
  <si>
    <t>22.2.4</t>
  </si>
  <si>
    <t>22.3.1</t>
  </si>
  <si>
    <t>22.3.2</t>
  </si>
  <si>
    <t>Subtotal item 22.3</t>
  </si>
  <si>
    <t>22.4.1</t>
  </si>
  <si>
    <t>22.4.2</t>
  </si>
  <si>
    <t>22.4.3</t>
  </si>
  <si>
    <t>22.4.5</t>
  </si>
  <si>
    <t>22.4.6</t>
  </si>
  <si>
    <t>22.4.7</t>
  </si>
  <si>
    <t>22.4.8</t>
  </si>
  <si>
    <t>Subtotal item 22.4</t>
  </si>
  <si>
    <t>22.4.4</t>
  </si>
  <si>
    <t>22.5.1</t>
  </si>
  <si>
    <t>22.5.2</t>
  </si>
  <si>
    <t>22.5.3</t>
  </si>
  <si>
    <t>22.5.4</t>
  </si>
  <si>
    <t>22.5.5</t>
  </si>
  <si>
    <t>22.5.6</t>
  </si>
  <si>
    <t>22.5.7</t>
  </si>
  <si>
    <t>22.5.8</t>
  </si>
  <si>
    <t>22.5.9</t>
  </si>
  <si>
    <t>22.5.10</t>
  </si>
  <si>
    <t>22.5.11</t>
  </si>
  <si>
    <t>Subtotal item 22.5</t>
  </si>
  <si>
    <t>22.6.1</t>
  </si>
  <si>
    <t>22.6.2</t>
  </si>
  <si>
    <t>22.6.3</t>
  </si>
  <si>
    <t>22.6.4</t>
  </si>
  <si>
    <t>22.6.5</t>
  </si>
  <si>
    <t>22.6.6</t>
  </si>
  <si>
    <t>22.6.7</t>
  </si>
  <si>
    <t>22.6.8</t>
  </si>
  <si>
    <t>22.6.9</t>
  </si>
  <si>
    <t>22.6.10</t>
  </si>
  <si>
    <t>22.6.11</t>
  </si>
  <si>
    <t>22.6.12</t>
  </si>
  <si>
    <t>22.6.13</t>
  </si>
  <si>
    <t>22.6.14</t>
  </si>
  <si>
    <t>22.6.15</t>
  </si>
  <si>
    <t>22.7.1</t>
  </si>
  <si>
    <t>22.7.2</t>
  </si>
  <si>
    <t>22.7.3</t>
  </si>
  <si>
    <t>22.7.4</t>
  </si>
  <si>
    <t>22.7.5</t>
  </si>
  <si>
    <t>22.7.6</t>
  </si>
  <si>
    <t>22.7.7</t>
  </si>
  <si>
    <t>Subtotal item 20.11</t>
  </si>
  <si>
    <t>Subtotal item 20.1</t>
  </si>
  <si>
    <t>Subtotal item 20.2</t>
  </si>
  <si>
    <t>Subtotal item 20.3</t>
  </si>
  <si>
    <t>Subtotal item 20.4</t>
  </si>
  <si>
    <t>Subtotal item 20.5</t>
  </si>
  <si>
    <t>Subtotal item 20.6</t>
  </si>
  <si>
    <t>Subtotal item 20.7</t>
  </si>
  <si>
    <t>Subtotal item 20.8</t>
  </si>
  <si>
    <t>Subtotal item 20.9</t>
  </si>
  <si>
    <t>Subtotal item 20.10</t>
  </si>
  <si>
    <t>QUANT. PERIODO 1</t>
  </si>
  <si>
    <t xml:space="preserve">QUANT. PERIODO </t>
  </si>
  <si>
    <t>LOCAL: BAIRRO RIBEIRÃO  - BARREIRAS - BA  / OBRA CRECHE RIBEIRÃO</t>
  </si>
  <si>
    <t xml:space="preserve">            _____________________________________________</t>
  </si>
  <si>
    <t>_____________________________________________</t>
  </si>
  <si>
    <t xml:space="preserve">            Secretária  Municipal de Educação, Cultura, Espote e Lazer</t>
  </si>
  <si>
    <t>Resp. Técnico Fiscalização: Mauricio Pereira</t>
  </si>
  <si>
    <t>PERCENTUAL MEDIDO</t>
  </si>
  <si>
    <t>DATA O.S.</t>
  </si>
  <si>
    <t xml:space="preserve">           Cátia Pereira Aires de Alencar </t>
  </si>
  <si>
    <t>Subtotal item 10</t>
  </si>
  <si>
    <t>Subtotal item 13</t>
  </si>
  <si>
    <t>Subtotal item 14</t>
  </si>
  <si>
    <t>Subtotal item 27</t>
  </si>
  <si>
    <t>BOLETIM DE MEDIÇÃO N° 12</t>
  </si>
  <si>
    <t>01/04/2020 Á 26/05/2020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</si>
</sst>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yy\.m\.d;@"/>
    <numFmt numFmtId="166" formatCode="00000000"/>
    <numFmt numFmtId="167" formatCode="yy\.mm\.d;@"/>
    <numFmt numFmtId="168" formatCode="dd\.m\.yy;@"/>
    <numFmt numFmtId="169" formatCode="dd\.mm\.yy;@"/>
    <numFmt numFmtId="170" formatCode="0.0000"/>
    <numFmt numFmtId="171" formatCode="_-[$R$-416]\ * #,##0.00_-;\-[$R$-416]\ * #,##0.00_-;_-[$R$-416]\ * &quot;-&quot;??_-;_-@_-"/>
  </numFmts>
  <fonts count="18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8"/>
      <color rgb="FF000000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</patternFill>
    </fill>
    <fill>
      <patternFill patternType="solid">
        <fgColor rgb="FFFFFF00"/>
      </patternFill>
    </fill>
    <fill>
      <patternFill patternType="solid">
        <fgColor rgb="FF8DB4E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right" vertical="top" shrinkToFit="1"/>
    </xf>
    <xf numFmtId="4" fontId="3" fillId="0" borderId="2" xfId="0" applyNumberFormat="1" applyFont="1" applyFill="1" applyBorder="1" applyAlignment="1">
      <alignment horizontal="right" vertical="top" shrinkToFit="1"/>
    </xf>
    <xf numFmtId="4" fontId="5" fillId="3" borderId="2" xfId="0" applyNumberFormat="1" applyFont="1" applyFill="1" applyBorder="1" applyAlignment="1">
      <alignment horizontal="right" vertical="top" shrinkToFit="1"/>
    </xf>
    <xf numFmtId="4" fontId="5" fillId="4" borderId="2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center" vertical="top" wrapText="1"/>
    </xf>
    <xf numFmtId="4" fontId="5" fillId="4" borderId="3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5" fontId="3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left" vertical="top" wrapText="1" indent="1"/>
    </xf>
    <xf numFmtId="165" fontId="5" fillId="0" borderId="2" xfId="0" applyNumberFormat="1" applyFont="1" applyFill="1" applyBorder="1" applyAlignment="1">
      <alignment horizontal="center" vertical="top" shrinkToFit="1"/>
    </xf>
    <xf numFmtId="166" fontId="3" fillId="0" borderId="2" xfId="0" applyNumberFormat="1" applyFont="1" applyFill="1" applyBorder="1" applyAlignment="1">
      <alignment horizontal="right" vertical="top" shrinkToFit="1"/>
    </xf>
    <xf numFmtId="167" fontId="3" fillId="0" borderId="2" xfId="0" applyNumberFormat="1" applyFont="1" applyFill="1" applyBorder="1" applyAlignment="1">
      <alignment horizontal="center" vertical="top" shrinkToFit="1"/>
    </xf>
    <xf numFmtId="167" fontId="5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horizontal="right" vertical="center" shrinkToFit="1"/>
    </xf>
    <xf numFmtId="168" fontId="3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top" shrinkToFit="1"/>
    </xf>
    <xf numFmtId="167" fontId="3" fillId="0" borderId="2" xfId="0" applyNumberFormat="1" applyFont="1" applyFill="1" applyBorder="1" applyAlignment="1">
      <alignment horizontal="center" vertical="center" shrinkToFit="1"/>
    </xf>
    <xf numFmtId="169" fontId="3" fillId="0" borderId="2" xfId="0" applyNumberFormat="1" applyFont="1" applyFill="1" applyBorder="1" applyAlignment="1">
      <alignment horizontal="center" vertical="top" shrinkToFit="1"/>
    </xf>
    <xf numFmtId="170" fontId="3" fillId="0" borderId="2" xfId="0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left" vertical="center" indent="1" shrinkToFit="1"/>
    </xf>
    <xf numFmtId="1" fontId="3" fillId="0" borderId="2" xfId="0" applyNumberFormat="1" applyFont="1" applyFill="1" applyBorder="1" applyAlignment="1">
      <alignment horizontal="right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vertical="center" shrinkToFit="1"/>
    </xf>
    <xf numFmtId="4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 vertical="center"/>
    </xf>
    <xf numFmtId="1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2" fillId="0" borderId="0" xfId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right" vertical="center" shrinkToFit="1"/>
    </xf>
    <xf numFmtId="4" fontId="3" fillId="0" borderId="5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shrinkToFit="1"/>
    </xf>
    <xf numFmtId="164" fontId="5" fillId="0" borderId="5" xfId="0" applyNumberFormat="1" applyFont="1" applyFill="1" applyBorder="1" applyAlignment="1">
      <alignment horizontal="center" vertical="center" shrinkToFit="1"/>
    </xf>
    <xf numFmtId="165" fontId="3" fillId="0" borderId="5" xfId="0" applyNumberFormat="1" applyFont="1" applyFill="1" applyBorder="1" applyAlignment="1">
      <alignment horizontal="center" vertical="center" shrinkToFit="1"/>
    </xf>
    <xf numFmtId="165" fontId="5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 shrinkToFit="1"/>
    </xf>
    <xf numFmtId="167" fontId="3" fillId="0" borderId="5" xfId="0" applyNumberFormat="1" applyFont="1" applyFill="1" applyBorder="1" applyAlignment="1">
      <alignment horizontal="center" vertical="center" shrinkToFit="1"/>
    </xf>
    <xf numFmtId="167" fontId="5" fillId="0" borderId="5" xfId="0" applyNumberFormat="1" applyFont="1" applyFill="1" applyBorder="1" applyAlignment="1">
      <alignment horizontal="center" vertical="center" shrinkToFit="1"/>
    </xf>
    <xf numFmtId="2" fontId="5" fillId="0" borderId="5" xfId="0" applyNumberFormat="1" applyFont="1" applyFill="1" applyBorder="1" applyAlignment="1">
      <alignment horizontal="right" vertical="center" shrinkToFit="1"/>
    </xf>
    <xf numFmtId="168" fontId="3" fillId="0" borderId="5" xfId="0" applyNumberFormat="1" applyFont="1" applyFill="1" applyBorder="1" applyAlignment="1">
      <alignment horizontal="center" vertical="center" shrinkToFit="1"/>
    </xf>
    <xf numFmtId="169" fontId="3" fillId="0" borderId="5" xfId="0" applyNumberFormat="1" applyFont="1" applyFill="1" applyBorder="1" applyAlignment="1">
      <alignment horizontal="center" vertical="center" shrinkToFit="1"/>
    </xf>
    <xf numFmtId="170" fontId="3" fillId="0" borderId="5" xfId="0" applyNumberFormat="1" applyFont="1" applyFill="1" applyBorder="1" applyAlignment="1">
      <alignment horizontal="right" vertical="center" shrinkToFit="1"/>
    </xf>
    <xf numFmtId="10" fontId="3" fillId="0" borderId="5" xfId="1" applyNumberFormat="1" applyFont="1" applyFill="1" applyBorder="1" applyAlignment="1">
      <alignment horizontal="right" vertical="center" shrinkToFit="1"/>
    </xf>
    <xf numFmtId="10" fontId="5" fillId="0" borderId="5" xfId="1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shrinkToFit="1"/>
    </xf>
    <xf numFmtId="166" fontId="3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vertical="center"/>
    </xf>
    <xf numFmtId="14" fontId="12" fillId="0" borderId="5" xfId="0" applyNumberFormat="1" applyFont="1" applyFill="1" applyBorder="1" applyAlignment="1">
      <alignment horizontal="left" vertical="center"/>
    </xf>
    <xf numFmtId="43" fontId="15" fillId="0" borderId="5" xfId="2" applyFont="1" applyBorder="1" applyAlignment="1">
      <alignment horizontal="center" vertical="center"/>
    </xf>
    <xf numFmtId="43" fontId="15" fillId="0" borderId="7" xfId="2" applyFont="1" applyBorder="1" applyAlignment="1">
      <alignment horizontal="center" vertical="center"/>
    </xf>
    <xf numFmtId="43" fontId="15" fillId="0" borderId="13" xfId="2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3" fontId="15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0" fontId="16" fillId="0" borderId="5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horizontal="right" vertical="center" shrinkToFit="1"/>
    </xf>
    <xf numFmtId="2" fontId="3" fillId="0" borderId="5" xfId="0" quotePrefix="1" applyNumberFormat="1" applyFont="1" applyFill="1" applyBorder="1" applyAlignment="1">
      <alignment horizontal="right" vertical="center" shrinkToFit="1"/>
    </xf>
    <xf numFmtId="0" fontId="1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0" fontId="5" fillId="0" borderId="0" xfId="1" applyNumberFormat="1" applyFont="1" applyFill="1" applyBorder="1" applyAlignment="1">
      <alignment horizontal="right" vertical="center" shrinkToFit="1"/>
    </xf>
    <xf numFmtId="2" fontId="17" fillId="0" borderId="5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1" fontId="3" fillId="0" borderId="3" xfId="0" applyNumberFormat="1" applyFont="1" applyFill="1" applyBorder="1" applyAlignment="1">
      <alignment horizontal="left" vertical="top" shrinkToFit="1"/>
    </xf>
    <xf numFmtId="1" fontId="3" fillId="0" borderId="4" xfId="0" applyNumberFormat="1" applyFont="1" applyFill="1" applyBorder="1" applyAlignment="1">
      <alignment horizontal="left" vertical="top" shrinkToFit="1"/>
    </xf>
    <xf numFmtId="10" fontId="3" fillId="0" borderId="3" xfId="0" applyNumberFormat="1" applyFont="1" applyFill="1" applyBorder="1" applyAlignment="1">
      <alignment horizontal="left" vertical="top" shrinkToFit="1"/>
    </xf>
    <xf numFmtId="10" fontId="3" fillId="0" borderId="1" xfId="0" applyNumberFormat="1" applyFont="1" applyFill="1" applyBorder="1" applyAlignment="1">
      <alignment horizontal="left" vertical="top" shrinkToFit="1"/>
    </xf>
    <xf numFmtId="10" fontId="3" fillId="0" borderId="4" xfId="0" applyNumberFormat="1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 vertical="top" wrapText="1" indent="5"/>
    </xf>
    <xf numFmtId="0" fontId="4" fillId="0" borderId="1" xfId="0" applyFont="1" applyFill="1" applyBorder="1" applyAlignment="1">
      <alignment horizontal="right" vertical="top" wrapText="1" indent="5"/>
    </xf>
    <xf numFmtId="0" fontId="4" fillId="0" borderId="4" xfId="0" applyFont="1" applyFill="1" applyBorder="1" applyAlignment="1">
      <alignment horizontal="right" vertical="top" wrapText="1" indent="5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71" fontId="13" fillId="0" borderId="5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171" fontId="11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/>
    </xf>
    <xf numFmtId="14" fontId="12" fillId="0" borderId="15" xfId="0" applyNumberFormat="1" applyFont="1" applyFill="1" applyBorder="1" applyAlignment="1">
      <alignment horizontal="center" vertical="center"/>
    </xf>
    <xf numFmtId="14" fontId="12" fillId="0" borderId="16" xfId="0" applyNumberFormat="1" applyFont="1" applyFill="1" applyBorder="1" applyAlignment="1">
      <alignment horizontal="center" vertical="center"/>
    </xf>
    <xf numFmtId="14" fontId="12" fillId="0" borderId="1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159359</xdr:colOff>
      <xdr:row>1</xdr:row>
      <xdr:rowOff>40822</xdr:rowOff>
    </xdr:from>
    <xdr:to>
      <xdr:col>13</xdr:col>
      <xdr:colOff>845004</xdr:colOff>
      <xdr:row>5</xdr:row>
      <xdr:rowOff>122464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430" y="190501"/>
          <a:ext cx="3420681" cy="68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40822</xdr:rowOff>
    </xdr:from>
    <xdr:to>
      <xdr:col>2</xdr:col>
      <xdr:colOff>1597324</xdr:colOff>
      <xdr:row>5</xdr:row>
      <xdr:rowOff>13607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2"/>
          <a:ext cx="3420681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408215</xdr:colOff>
      <xdr:row>0</xdr:row>
      <xdr:rowOff>95250</xdr:rowOff>
    </xdr:from>
    <xdr:to>
      <xdr:col>2</xdr:col>
      <xdr:colOff>2041071</xdr:colOff>
      <xdr:row>4</xdr:row>
      <xdr:rowOff>321445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5" y="95250"/>
          <a:ext cx="3456213" cy="8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408215</xdr:colOff>
      <xdr:row>0</xdr:row>
      <xdr:rowOff>95250</xdr:rowOff>
    </xdr:from>
    <xdr:to>
      <xdr:col>2</xdr:col>
      <xdr:colOff>2041071</xdr:colOff>
      <xdr:row>4</xdr:row>
      <xdr:rowOff>321445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5" y="95250"/>
          <a:ext cx="3442606" cy="83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9"/>
  <sheetViews>
    <sheetView workbookViewId="0">
      <selection activeCell="C7" sqref="C7:D7"/>
    </sheetView>
  </sheetViews>
  <sheetFormatPr defaultRowHeight="12.75" x14ac:dyDescent="0.2"/>
  <cols>
    <col min="1" max="1" width="15.83203125" customWidth="1"/>
    <col min="2" max="2" width="15.83203125" style="48" customWidth="1"/>
    <col min="3" max="3" width="36.1640625" customWidth="1"/>
    <col min="4" max="4" width="19.5" customWidth="1"/>
    <col min="5" max="5" width="8.83203125" customWidth="1"/>
    <col min="6" max="10" width="15.83203125" customWidth="1"/>
  </cols>
  <sheetData>
    <row r="1" spans="1:12" s="1" customFormat="1" ht="25.5" customHeight="1" x14ac:dyDescent="0.2">
      <c r="A1" s="139" t="s">
        <v>0</v>
      </c>
      <c r="B1" s="141"/>
      <c r="C1" s="141"/>
      <c r="D1" s="140"/>
      <c r="E1" s="139" t="s">
        <v>1</v>
      </c>
      <c r="F1" s="141"/>
      <c r="G1" s="141"/>
      <c r="H1" s="141"/>
      <c r="I1" s="141"/>
      <c r="J1" s="140"/>
    </row>
    <row r="2" spans="1:12" s="1" customFormat="1" ht="25.5" customHeight="1" x14ac:dyDescent="0.2">
      <c r="A2" s="142" t="s">
        <v>2</v>
      </c>
      <c r="B2" s="143"/>
      <c r="C2" s="144">
        <v>25073</v>
      </c>
      <c r="D2" s="145"/>
      <c r="E2" s="2" t="s">
        <v>3</v>
      </c>
      <c r="F2" s="146">
        <v>0.27589999999999998</v>
      </c>
      <c r="G2" s="147"/>
      <c r="H2" s="147"/>
      <c r="I2" s="147"/>
      <c r="J2" s="148"/>
    </row>
    <row r="3" spans="1:12" s="1" customFormat="1" ht="25.5" customHeight="1" x14ac:dyDescent="0.2">
      <c r="A3" s="3" t="s">
        <v>166</v>
      </c>
      <c r="B3" s="4" t="s">
        <v>4</v>
      </c>
      <c r="C3" s="135" t="s">
        <v>5</v>
      </c>
      <c r="D3" s="136"/>
      <c r="E3" s="5" t="s">
        <v>6</v>
      </c>
      <c r="F3" s="5" t="s">
        <v>7</v>
      </c>
      <c r="G3" s="6" t="s">
        <v>167</v>
      </c>
      <c r="H3" s="4" t="s">
        <v>1280</v>
      </c>
      <c r="I3" s="6" t="s">
        <v>169</v>
      </c>
      <c r="J3" s="6" t="s">
        <v>170</v>
      </c>
    </row>
    <row r="4" spans="1:12" s="1" customFormat="1" ht="25.5" customHeight="1" x14ac:dyDescent="0.2">
      <c r="A4" s="8"/>
      <c r="B4" s="9" t="s">
        <v>8</v>
      </c>
      <c r="C4" s="137" t="s">
        <v>9</v>
      </c>
      <c r="D4" s="138"/>
      <c r="E4" s="8"/>
      <c r="F4" s="8"/>
      <c r="G4" s="8"/>
      <c r="H4" s="8"/>
      <c r="I4" s="8"/>
      <c r="J4" s="8"/>
    </row>
    <row r="5" spans="1:12" s="1" customFormat="1" ht="25.5" customHeight="1" x14ac:dyDescent="0.2">
      <c r="A5" s="8"/>
      <c r="B5" s="9" t="s">
        <v>10</v>
      </c>
      <c r="C5" s="137" t="s">
        <v>11</v>
      </c>
      <c r="D5" s="138"/>
      <c r="E5" s="8"/>
      <c r="F5" s="8"/>
      <c r="G5" s="8"/>
      <c r="H5" s="8"/>
      <c r="I5" s="8"/>
      <c r="J5" s="8"/>
    </row>
    <row r="6" spans="1:12" s="1" customFormat="1" ht="25.5" customHeight="1" x14ac:dyDescent="0.2">
      <c r="A6" s="10">
        <v>93207</v>
      </c>
      <c r="B6" s="11" t="s">
        <v>12</v>
      </c>
      <c r="C6" s="139" t="s">
        <v>13</v>
      </c>
      <c r="D6" s="140"/>
      <c r="E6" s="11" t="s">
        <v>14</v>
      </c>
      <c r="F6" s="12">
        <v>25.41</v>
      </c>
      <c r="G6" s="12">
        <v>597.70000000000005</v>
      </c>
      <c r="H6" s="12">
        <v>762.6</v>
      </c>
      <c r="I6" s="13">
        <f>F6*G6</f>
        <v>15187.557000000001</v>
      </c>
      <c r="J6" s="13">
        <f>F6*H6</f>
        <v>19377.666000000001</v>
      </c>
    </row>
    <row r="7" spans="1:12" s="1" customFormat="1" ht="25.5" customHeight="1" x14ac:dyDescent="0.2">
      <c r="A7" s="11" t="s">
        <v>15</v>
      </c>
      <c r="B7" s="11" t="s">
        <v>16</v>
      </c>
      <c r="C7" s="139" t="s">
        <v>17</v>
      </c>
      <c r="D7" s="140"/>
      <c r="E7" s="11" t="s">
        <v>14</v>
      </c>
      <c r="F7" s="12">
        <v>3</v>
      </c>
      <c r="G7" s="12">
        <v>256.73</v>
      </c>
      <c r="H7" s="12">
        <v>327.57</v>
      </c>
      <c r="I7" s="13">
        <f>F7*G7</f>
        <v>770.19</v>
      </c>
      <c r="J7" s="13">
        <f>F7*H7</f>
        <v>982.71</v>
      </c>
    </row>
    <row r="8" spans="1:12" s="1" customFormat="1" ht="25.5" customHeight="1" x14ac:dyDescent="0.2">
      <c r="A8" s="10">
        <v>92235</v>
      </c>
      <c r="B8" s="11" t="s">
        <v>18</v>
      </c>
      <c r="C8" s="139" t="s">
        <v>19</v>
      </c>
      <c r="D8" s="140"/>
      <c r="E8" s="11" t="s">
        <v>14</v>
      </c>
      <c r="F8" s="12">
        <v>650</v>
      </c>
      <c r="G8" s="12">
        <v>49.62</v>
      </c>
      <c r="H8" s="12">
        <v>63.31</v>
      </c>
      <c r="I8" s="13">
        <f>F8*G8</f>
        <v>32253</v>
      </c>
      <c r="J8" s="13">
        <f>F8*H8</f>
        <v>41151.5</v>
      </c>
    </row>
    <row r="9" spans="1:12" s="1" customFormat="1" ht="25.5" customHeight="1" x14ac:dyDescent="0.2">
      <c r="A9" s="11" t="s">
        <v>20</v>
      </c>
      <c r="B9" s="11" t="s">
        <v>21</v>
      </c>
      <c r="C9" s="139" t="s">
        <v>22</v>
      </c>
      <c r="D9" s="140"/>
      <c r="E9" s="11" t="s">
        <v>23</v>
      </c>
      <c r="F9" s="13">
        <v>1118.48</v>
      </c>
      <c r="G9" s="12">
        <v>5.2</v>
      </c>
      <c r="H9" s="12">
        <v>6.64</v>
      </c>
      <c r="I9" s="13">
        <f>F9*G9</f>
        <v>5816.0960000000005</v>
      </c>
      <c r="J9" s="13">
        <f>F9*H9</f>
        <v>7426.7071999999998</v>
      </c>
      <c r="K9" s="49"/>
      <c r="L9" s="49"/>
    </row>
    <row r="10" spans="1:12" s="1" customFormat="1" ht="25.5" customHeight="1" x14ac:dyDescent="0.2">
      <c r="A10" s="8"/>
      <c r="B10" s="149" t="s">
        <v>24</v>
      </c>
      <c r="C10" s="150"/>
      <c r="D10" s="150"/>
      <c r="E10" s="150"/>
      <c r="F10" s="150"/>
      <c r="G10" s="151"/>
      <c r="H10" s="8"/>
      <c r="I10" s="14">
        <f>SUM(I6:I9)+0.28</f>
        <v>54027.123</v>
      </c>
      <c r="J10" s="15">
        <f>SUM(J6:J9)-5.38</f>
        <v>68933.203200000004</v>
      </c>
    </row>
    <row r="11" spans="1:12" s="1" customFormat="1" ht="25.5" customHeight="1" x14ac:dyDescent="0.2">
      <c r="A11" s="8"/>
      <c r="B11" s="9" t="s">
        <v>25</v>
      </c>
      <c r="C11" s="137" t="s">
        <v>26</v>
      </c>
      <c r="D11" s="138"/>
      <c r="E11" s="8"/>
      <c r="F11" s="8"/>
      <c r="G11" s="8"/>
      <c r="H11" s="8"/>
      <c r="I11" s="8"/>
      <c r="J11" s="8"/>
    </row>
    <row r="12" spans="1:12" s="1" customFormat="1" ht="25.5" customHeight="1" x14ac:dyDescent="0.2">
      <c r="A12" s="8"/>
      <c r="B12" s="9" t="s">
        <v>27</v>
      </c>
      <c r="C12" s="137" t="s">
        <v>28</v>
      </c>
      <c r="D12" s="138"/>
      <c r="E12" s="8"/>
      <c r="F12" s="8"/>
      <c r="G12" s="8"/>
      <c r="H12" s="8"/>
      <c r="I12" s="8"/>
      <c r="J12" s="8"/>
    </row>
    <row r="13" spans="1:12" s="1" customFormat="1" ht="25.5" customHeight="1" x14ac:dyDescent="0.2">
      <c r="A13" s="10">
        <v>94965</v>
      </c>
      <c r="B13" s="11" t="s">
        <v>29</v>
      </c>
      <c r="C13" s="139" t="s">
        <v>30</v>
      </c>
      <c r="D13" s="140"/>
      <c r="E13" s="16" t="s">
        <v>171</v>
      </c>
      <c r="F13" s="12">
        <v>6.16</v>
      </c>
      <c r="G13" s="12">
        <v>302.64</v>
      </c>
      <c r="H13" s="12">
        <v>386.14</v>
      </c>
      <c r="I13" s="13">
        <f>F13*G13</f>
        <v>1864.2624000000001</v>
      </c>
      <c r="J13" s="13">
        <f>F13*H13</f>
        <v>2378.6224000000002</v>
      </c>
    </row>
    <row r="14" spans="1:12" s="1" customFormat="1" ht="25.5" customHeight="1" x14ac:dyDescent="0.2">
      <c r="A14" s="10">
        <v>92873</v>
      </c>
      <c r="B14" s="11" t="s">
        <v>31</v>
      </c>
      <c r="C14" s="139" t="s">
        <v>32</v>
      </c>
      <c r="D14" s="140"/>
      <c r="E14" s="16" t="s">
        <v>171</v>
      </c>
      <c r="F14" s="12">
        <v>6.16</v>
      </c>
      <c r="G14" s="12">
        <v>135.94</v>
      </c>
      <c r="H14" s="12">
        <v>173.44</v>
      </c>
      <c r="I14" s="13">
        <f>F14*G14</f>
        <v>837.3904</v>
      </c>
      <c r="J14" s="13">
        <f>F14*H14</f>
        <v>1068.3904</v>
      </c>
    </row>
    <row r="15" spans="1:12" s="1" customFormat="1" ht="25.5" customHeight="1" x14ac:dyDescent="0.2">
      <c r="A15" s="10">
        <v>92762</v>
      </c>
      <c r="B15" s="11" t="s">
        <v>33</v>
      </c>
      <c r="C15" s="139" t="s">
        <v>34</v>
      </c>
      <c r="D15" s="140"/>
      <c r="E15" s="11" t="s">
        <v>35</v>
      </c>
      <c r="F15" s="12">
        <v>296</v>
      </c>
      <c r="G15" s="12">
        <v>5.86</v>
      </c>
      <c r="H15" s="12">
        <v>7.48</v>
      </c>
      <c r="I15" s="13">
        <f>F15*G15</f>
        <v>1734.5600000000002</v>
      </c>
      <c r="J15" s="13">
        <f>F15*H15</f>
        <v>2214.08</v>
      </c>
    </row>
    <row r="16" spans="1:12" s="1" customFormat="1" ht="25.5" customHeight="1" x14ac:dyDescent="0.2">
      <c r="A16" s="10">
        <v>96523</v>
      </c>
      <c r="B16" s="11" t="s">
        <v>36</v>
      </c>
      <c r="C16" s="139" t="s">
        <v>37</v>
      </c>
      <c r="D16" s="140"/>
      <c r="E16" s="16" t="s">
        <v>171</v>
      </c>
      <c r="F16" s="12">
        <v>88</v>
      </c>
      <c r="G16" s="12">
        <v>59.37</v>
      </c>
      <c r="H16" s="12">
        <v>75.75</v>
      </c>
      <c r="I16" s="13">
        <f>F16*G16</f>
        <v>5224.5599999999995</v>
      </c>
      <c r="J16" s="13">
        <f>F16*H16</f>
        <v>6666</v>
      </c>
    </row>
    <row r="17" spans="1:11" s="1" customFormat="1" ht="25.5" customHeight="1" x14ac:dyDescent="0.2">
      <c r="A17" s="8"/>
      <c r="B17" s="149" t="s">
        <v>38</v>
      </c>
      <c r="C17" s="150"/>
      <c r="D17" s="150"/>
      <c r="E17" s="150"/>
      <c r="F17" s="150"/>
      <c r="G17" s="151"/>
      <c r="H17" s="8"/>
      <c r="I17" s="14">
        <f>SUM(I13:I16)-0.04</f>
        <v>9660.732799999998</v>
      </c>
      <c r="J17" s="15">
        <f>SUM(J13:J16)-0.96</f>
        <v>12326.132800000001</v>
      </c>
      <c r="K17" s="49"/>
    </row>
    <row r="18" spans="1:11" s="1" customFormat="1" ht="25.5" customHeight="1" x14ac:dyDescent="0.2">
      <c r="A18" s="8"/>
      <c r="B18" s="9" t="s">
        <v>39</v>
      </c>
      <c r="C18" s="137" t="s">
        <v>40</v>
      </c>
      <c r="D18" s="138"/>
      <c r="E18" s="8"/>
      <c r="F18" s="8"/>
      <c r="G18" s="8"/>
      <c r="H18" s="8"/>
      <c r="I18" s="8"/>
      <c r="J18" s="8"/>
    </row>
    <row r="19" spans="1:11" s="1" customFormat="1" ht="25.5" customHeight="1" x14ac:dyDescent="0.2">
      <c r="A19" s="8"/>
      <c r="B19" s="9" t="s">
        <v>41</v>
      </c>
      <c r="C19" s="137" t="s">
        <v>42</v>
      </c>
      <c r="D19" s="138"/>
      <c r="E19" s="8"/>
      <c r="F19" s="8"/>
      <c r="G19" s="8"/>
      <c r="H19" s="8"/>
      <c r="I19" s="8"/>
      <c r="J19" s="8"/>
    </row>
    <row r="20" spans="1:11" s="1" customFormat="1" ht="25.5" customHeight="1" x14ac:dyDescent="0.2">
      <c r="A20" s="10">
        <v>92265</v>
      </c>
      <c r="B20" s="11" t="s">
        <v>43</v>
      </c>
      <c r="C20" s="139" t="s">
        <v>44</v>
      </c>
      <c r="D20" s="140"/>
      <c r="E20" s="11" t="s">
        <v>14</v>
      </c>
      <c r="F20" s="12">
        <v>142.72</v>
      </c>
      <c r="G20" s="12">
        <v>60.66</v>
      </c>
      <c r="H20" s="12">
        <v>77.400000000000006</v>
      </c>
      <c r="I20" s="13">
        <f>F20*G20</f>
        <v>8657.395199999999</v>
      </c>
      <c r="J20" s="13">
        <f>F20*H20</f>
        <v>11046.528</v>
      </c>
    </row>
    <row r="21" spans="1:11" s="1" customFormat="1" ht="25.5" customHeight="1" x14ac:dyDescent="0.2">
      <c r="A21" s="10">
        <v>92762</v>
      </c>
      <c r="B21" s="11" t="s">
        <v>45</v>
      </c>
      <c r="C21" s="139" t="s">
        <v>46</v>
      </c>
      <c r="D21" s="140"/>
      <c r="E21" s="11" t="s">
        <v>35</v>
      </c>
      <c r="F21" s="12">
        <v>884.82</v>
      </c>
      <c r="G21" s="12">
        <v>5.86</v>
      </c>
      <c r="H21" s="12">
        <v>7.48</v>
      </c>
      <c r="I21" s="13">
        <f>F21*G21</f>
        <v>5185.0452000000005</v>
      </c>
      <c r="J21" s="13">
        <f>F21*H21</f>
        <v>6618.4536000000007</v>
      </c>
    </row>
    <row r="22" spans="1:11" s="1" customFormat="1" ht="25.5" customHeight="1" x14ac:dyDescent="0.2">
      <c r="A22" s="10">
        <v>94965</v>
      </c>
      <c r="B22" s="11" t="s">
        <v>47</v>
      </c>
      <c r="C22" s="139" t="s">
        <v>30</v>
      </c>
      <c r="D22" s="140"/>
      <c r="E22" s="11" t="s">
        <v>48</v>
      </c>
      <c r="F22" s="12">
        <v>10.88</v>
      </c>
      <c r="G22" s="12">
        <v>302.64</v>
      </c>
      <c r="H22" s="12">
        <v>386.14</v>
      </c>
      <c r="I22" s="13">
        <f>F22*G22</f>
        <v>3292.7231999999999</v>
      </c>
      <c r="J22" s="13">
        <f>F22*H22</f>
        <v>4201.2031999999999</v>
      </c>
    </row>
    <row r="23" spans="1:11" s="1" customFormat="1" ht="25.5" customHeight="1" x14ac:dyDescent="0.2">
      <c r="A23" s="10">
        <v>92873</v>
      </c>
      <c r="B23" s="11" t="s">
        <v>49</v>
      </c>
      <c r="C23" s="139" t="s">
        <v>32</v>
      </c>
      <c r="D23" s="140"/>
      <c r="E23" s="11" t="s">
        <v>48</v>
      </c>
      <c r="F23" s="12">
        <v>10.88</v>
      </c>
      <c r="G23" s="12">
        <v>135.94</v>
      </c>
      <c r="H23" s="12">
        <v>173.44</v>
      </c>
      <c r="I23" s="13">
        <f>F23*G23</f>
        <v>1479.0272</v>
      </c>
      <c r="J23" s="13">
        <f>F23*H23</f>
        <v>1887.0272000000002</v>
      </c>
    </row>
    <row r="24" spans="1:11" s="1" customFormat="1" ht="25.5" customHeight="1" x14ac:dyDescent="0.2">
      <c r="A24" s="8"/>
      <c r="B24" s="9" t="s">
        <v>50</v>
      </c>
      <c r="C24" s="137" t="s">
        <v>51</v>
      </c>
      <c r="D24" s="138"/>
      <c r="E24" s="8"/>
      <c r="F24" s="8"/>
      <c r="G24" s="8"/>
      <c r="H24" s="8"/>
      <c r="I24" s="8"/>
      <c r="J24" s="8"/>
    </row>
    <row r="25" spans="1:11" s="1" customFormat="1" ht="25.5" customHeight="1" x14ac:dyDescent="0.2">
      <c r="A25" s="10">
        <v>92265</v>
      </c>
      <c r="B25" s="11" t="s">
        <v>52</v>
      </c>
      <c r="C25" s="139" t="s">
        <v>44</v>
      </c>
      <c r="D25" s="140"/>
      <c r="E25" s="11" t="s">
        <v>14</v>
      </c>
      <c r="F25" s="12">
        <v>108.19</v>
      </c>
      <c r="G25" s="12">
        <v>60.66</v>
      </c>
      <c r="H25" s="12">
        <v>77.400000000000006</v>
      </c>
      <c r="I25" s="13">
        <f>F25*G25</f>
        <v>6562.8053999999993</v>
      </c>
      <c r="J25" s="13">
        <f>F25*H25</f>
        <v>8373.9060000000009</v>
      </c>
    </row>
    <row r="26" spans="1:11" s="1" customFormat="1" ht="25.5" customHeight="1" x14ac:dyDescent="0.2">
      <c r="A26" s="10">
        <v>92762</v>
      </c>
      <c r="B26" s="11" t="s">
        <v>53</v>
      </c>
      <c r="C26" s="139" t="s">
        <v>46</v>
      </c>
      <c r="D26" s="140"/>
      <c r="E26" s="11" t="s">
        <v>35</v>
      </c>
      <c r="F26" s="12">
        <v>365.92</v>
      </c>
      <c r="G26" s="12">
        <v>5.86</v>
      </c>
      <c r="H26" s="12">
        <v>7.48</v>
      </c>
      <c r="I26" s="13">
        <f>F26*G26</f>
        <v>2144.2912000000001</v>
      </c>
      <c r="J26" s="13">
        <f>F26*H26</f>
        <v>2737.0816000000004</v>
      </c>
    </row>
    <row r="27" spans="1:11" s="1" customFormat="1" ht="25.5" customHeight="1" x14ac:dyDescent="0.2">
      <c r="A27" s="10">
        <v>94965</v>
      </c>
      <c r="B27" s="11" t="s">
        <v>54</v>
      </c>
      <c r="C27" s="139" t="s">
        <v>30</v>
      </c>
      <c r="D27" s="140"/>
      <c r="E27" s="11" t="s">
        <v>48</v>
      </c>
      <c r="F27" s="12">
        <v>6.76</v>
      </c>
      <c r="G27" s="12">
        <v>302.64</v>
      </c>
      <c r="H27" s="12">
        <v>386.14</v>
      </c>
      <c r="I27" s="13">
        <f>F27*G27</f>
        <v>2045.8463999999999</v>
      </c>
      <c r="J27" s="13">
        <f>F27*H27</f>
        <v>2610.3063999999999</v>
      </c>
    </row>
    <row r="28" spans="1:11" s="1" customFormat="1" ht="25.5" customHeight="1" x14ac:dyDescent="0.2">
      <c r="A28" s="10">
        <v>92873</v>
      </c>
      <c r="B28" s="11" t="s">
        <v>55</v>
      </c>
      <c r="C28" s="139" t="s">
        <v>32</v>
      </c>
      <c r="D28" s="140"/>
      <c r="E28" s="11" t="s">
        <v>48</v>
      </c>
      <c r="F28" s="12">
        <v>6.76</v>
      </c>
      <c r="G28" s="12">
        <v>135.94</v>
      </c>
      <c r="H28" s="12">
        <v>173.44</v>
      </c>
      <c r="I28" s="13">
        <f>F28*G28</f>
        <v>918.95439999999996</v>
      </c>
      <c r="J28" s="13">
        <f>F28*H28</f>
        <v>1172.4543999999999</v>
      </c>
    </row>
    <row r="29" spans="1:11" s="1" customFormat="1" ht="25.5" customHeight="1" x14ac:dyDescent="0.2">
      <c r="A29" s="8"/>
      <c r="B29" s="9" t="s">
        <v>56</v>
      </c>
      <c r="C29" s="137" t="s">
        <v>57</v>
      </c>
      <c r="D29" s="138"/>
      <c r="E29" s="8"/>
      <c r="F29" s="8"/>
      <c r="G29" s="8"/>
      <c r="H29" s="8"/>
      <c r="I29" s="8"/>
      <c r="J29" s="8"/>
    </row>
    <row r="30" spans="1:11" s="1" customFormat="1" ht="25.5" customHeight="1" x14ac:dyDescent="0.2">
      <c r="A30" s="11" t="s">
        <v>58</v>
      </c>
      <c r="B30" s="11" t="s">
        <v>59</v>
      </c>
      <c r="C30" s="139" t="s">
        <v>60</v>
      </c>
      <c r="D30" s="140"/>
      <c r="E30" s="11" t="s">
        <v>14</v>
      </c>
      <c r="F30" s="13">
        <v>1036</v>
      </c>
      <c r="G30" s="12">
        <v>62.75</v>
      </c>
      <c r="H30" s="12">
        <v>80.06</v>
      </c>
      <c r="I30" s="13">
        <f>F30*G30</f>
        <v>65009</v>
      </c>
      <c r="J30" s="13">
        <f>F30*H30</f>
        <v>82942.16</v>
      </c>
    </row>
    <row r="31" spans="1:11" s="1" customFormat="1" ht="25.5" customHeight="1" x14ac:dyDescent="0.2">
      <c r="A31" s="10">
        <v>92763</v>
      </c>
      <c r="B31" s="11" t="s">
        <v>61</v>
      </c>
      <c r="C31" s="139" t="s">
        <v>62</v>
      </c>
      <c r="D31" s="140"/>
      <c r="E31" s="11" t="s">
        <v>35</v>
      </c>
      <c r="F31" s="13">
        <v>3423</v>
      </c>
      <c r="G31" s="12">
        <v>5.22</v>
      </c>
      <c r="H31" s="12">
        <v>6.66</v>
      </c>
      <c r="I31" s="13">
        <f>F31*G31</f>
        <v>17868.059999999998</v>
      </c>
      <c r="J31" s="13">
        <f>F31*H31</f>
        <v>22797.18</v>
      </c>
    </row>
    <row r="32" spans="1:11" s="1" customFormat="1" ht="25.5" customHeight="1" x14ac:dyDescent="0.2">
      <c r="A32" s="10">
        <v>94965</v>
      </c>
      <c r="B32" s="11" t="s">
        <v>63</v>
      </c>
      <c r="C32" s="139" t="s">
        <v>30</v>
      </c>
      <c r="D32" s="140"/>
      <c r="E32" s="11" t="s">
        <v>48</v>
      </c>
      <c r="F32" s="12">
        <v>47.9</v>
      </c>
      <c r="G32" s="12">
        <v>302.64</v>
      </c>
      <c r="H32" s="12">
        <v>386.14</v>
      </c>
      <c r="I32" s="13">
        <f>F32*G32</f>
        <v>14496.455999999998</v>
      </c>
      <c r="J32" s="13">
        <f>F32*H32</f>
        <v>18496.106</v>
      </c>
    </row>
    <row r="33" spans="1:11" s="1" customFormat="1" ht="25.5" customHeight="1" x14ac:dyDescent="0.2">
      <c r="A33" s="10">
        <v>92873</v>
      </c>
      <c r="B33" s="11" t="s">
        <v>64</v>
      </c>
      <c r="C33" s="139" t="s">
        <v>32</v>
      </c>
      <c r="D33" s="140"/>
      <c r="E33" s="11" t="s">
        <v>48</v>
      </c>
      <c r="F33" s="12">
        <v>47.9</v>
      </c>
      <c r="G33" s="12">
        <v>135.94</v>
      </c>
      <c r="H33" s="12">
        <v>173.44</v>
      </c>
      <c r="I33" s="13">
        <f>F33*G33</f>
        <v>6511.5259999999998</v>
      </c>
      <c r="J33" s="13">
        <f>F33*H33</f>
        <v>8307.7759999999998</v>
      </c>
    </row>
    <row r="34" spans="1:11" s="1" customFormat="1" ht="25.5" customHeight="1" x14ac:dyDescent="0.2">
      <c r="A34" s="8"/>
      <c r="B34" s="9" t="s">
        <v>65</v>
      </c>
      <c r="C34" s="137" t="s">
        <v>66</v>
      </c>
      <c r="D34" s="138"/>
      <c r="E34" s="8"/>
      <c r="F34" s="8"/>
      <c r="G34" s="8"/>
      <c r="H34" s="8"/>
      <c r="I34" s="8"/>
      <c r="J34" s="8"/>
    </row>
    <row r="35" spans="1:11" s="1" customFormat="1" ht="25.5" customHeight="1" x14ac:dyDescent="0.2">
      <c r="A35" s="10">
        <v>92265</v>
      </c>
      <c r="B35" s="11" t="s">
        <v>67</v>
      </c>
      <c r="C35" s="139" t="s">
        <v>44</v>
      </c>
      <c r="D35" s="140"/>
      <c r="E35" s="11" t="s">
        <v>14</v>
      </c>
      <c r="F35" s="12">
        <v>370.9</v>
      </c>
      <c r="G35" s="12">
        <v>60.66</v>
      </c>
      <c r="H35" s="12">
        <v>77.400000000000006</v>
      </c>
      <c r="I35" s="13">
        <f>F35*G35</f>
        <v>22498.793999999998</v>
      </c>
      <c r="J35" s="13">
        <f>F35*H35</f>
        <v>28707.66</v>
      </c>
    </row>
    <row r="36" spans="1:11" s="1" customFormat="1" ht="25.5" customHeight="1" x14ac:dyDescent="0.2">
      <c r="A36" s="10">
        <v>92762</v>
      </c>
      <c r="B36" s="11" t="s">
        <v>68</v>
      </c>
      <c r="C36" s="139" t="s">
        <v>46</v>
      </c>
      <c r="D36" s="140"/>
      <c r="E36" s="11" t="s">
        <v>35</v>
      </c>
      <c r="F36" s="13">
        <v>6724.2</v>
      </c>
      <c r="G36" s="12">
        <v>5.86</v>
      </c>
      <c r="H36" s="12">
        <v>7.48</v>
      </c>
      <c r="I36" s="13">
        <f>F36*G36</f>
        <v>39403.811999999998</v>
      </c>
      <c r="J36" s="13">
        <f>F36*H36</f>
        <v>50297.016000000003</v>
      </c>
    </row>
    <row r="37" spans="1:11" s="1" customFormat="1" ht="25.5" customHeight="1" x14ac:dyDescent="0.2">
      <c r="A37" s="10">
        <v>94965</v>
      </c>
      <c r="B37" s="11" t="s">
        <v>69</v>
      </c>
      <c r="C37" s="139" t="s">
        <v>30</v>
      </c>
      <c r="D37" s="140"/>
      <c r="E37" s="11" t="s">
        <v>48</v>
      </c>
      <c r="F37" s="12">
        <v>35.9</v>
      </c>
      <c r="G37" s="12">
        <v>302.64</v>
      </c>
      <c r="H37" s="12">
        <v>386.14</v>
      </c>
      <c r="I37" s="13">
        <f>F37*G37</f>
        <v>10864.776</v>
      </c>
      <c r="J37" s="13">
        <f>F37*H37</f>
        <v>13862.425999999999</v>
      </c>
    </row>
    <row r="38" spans="1:11" s="1" customFormat="1" ht="25.5" customHeight="1" x14ac:dyDescent="0.2">
      <c r="A38" s="10">
        <v>92873</v>
      </c>
      <c r="B38" s="11" t="s">
        <v>70</v>
      </c>
      <c r="C38" s="139" t="s">
        <v>32</v>
      </c>
      <c r="D38" s="140"/>
      <c r="E38" s="11" t="s">
        <v>48</v>
      </c>
      <c r="F38" s="12">
        <v>35.9</v>
      </c>
      <c r="G38" s="12">
        <v>135.94</v>
      </c>
      <c r="H38" s="12">
        <v>173.44</v>
      </c>
      <c r="I38" s="13">
        <f>F38*G38</f>
        <v>4880.2460000000001</v>
      </c>
      <c r="J38" s="13">
        <f>F38*H38</f>
        <v>6226.4960000000001</v>
      </c>
    </row>
    <row r="39" spans="1:11" s="1" customFormat="1" ht="25.5" customHeight="1" x14ac:dyDescent="0.2">
      <c r="A39" s="8"/>
      <c r="B39" s="149" t="s">
        <v>71</v>
      </c>
      <c r="C39" s="150"/>
      <c r="D39" s="150"/>
      <c r="E39" s="150"/>
      <c r="F39" s="150"/>
      <c r="G39" s="151"/>
      <c r="H39" s="8"/>
      <c r="I39" s="14">
        <f>SUM(I20:I38)+0.05</f>
        <v>211818.80820000003</v>
      </c>
      <c r="J39" s="15">
        <f>SUM(J20:J38)-36.92</f>
        <v>270246.86040000001</v>
      </c>
      <c r="K39" s="49"/>
    </row>
    <row r="40" spans="1:11" s="1" customFormat="1" ht="25.5" customHeight="1" x14ac:dyDescent="0.2">
      <c r="A40" s="8"/>
      <c r="B40" s="9" t="s">
        <v>72</v>
      </c>
      <c r="C40" s="137" t="s">
        <v>73</v>
      </c>
      <c r="D40" s="138"/>
      <c r="E40" s="8"/>
      <c r="F40" s="8"/>
      <c r="G40" s="8"/>
      <c r="H40" s="8"/>
      <c r="I40" s="8"/>
      <c r="J40" s="8"/>
    </row>
    <row r="41" spans="1:11" s="1" customFormat="1" ht="25.5" customHeight="1" x14ac:dyDescent="0.2">
      <c r="A41" s="8"/>
      <c r="B41" s="11" t="s">
        <v>74</v>
      </c>
      <c r="C41" s="137" t="s">
        <v>75</v>
      </c>
      <c r="D41" s="138"/>
      <c r="E41" s="8"/>
      <c r="F41" s="8"/>
      <c r="G41" s="8"/>
      <c r="H41" s="8"/>
      <c r="I41" s="8"/>
      <c r="J41" s="8"/>
    </row>
    <row r="42" spans="1:11" s="1" customFormat="1" ht="25.5" customHeight="1" x14ac:dyDescent="0.2">
      <c r="A42" s="10">
        <v>87479</v>
      </c>
      <c r="B42" s="11" t="s">
        <v>76</v>
      </c>
      <c r="C42" s="139" t="s">
        <v>77</v>
      </c>
      <c r="D42" s="140"/>
      <c r="E42" s="11" t="s">
        <v>14</v>
      </c>
      <c r="F42" s="12">
        <v>107.43</v>
      </c>
      <c r="G42" s="12">
        <v>41.64</v>
      </c>
      <c r="H42" s="12">
        <v>53.13</v>
      </c>
      <c r="I42" s="13">
        <f t="shared" ref="I42:I48" si="0">F42*G42</f>
        <v>4473.3852000000006</v>
      </c>
      <c r="J42" s="13">
        <f t="shared" ref="J42:J48" si="1">F42*H42</f>
        <v>5707.755900000001</v>
      </c>
    </row>
    <row r="43" spans="1:11" s="1" customFormat="1" ht="25.5" customHeight="1" x14ac:dyDescent="0.2">
      <c r="A43" s="11" t="s">
        <v>78</v>
      </c>
      <c r="B43" s="11" t="s">
        <v>79</v>
      </c>
      <c r="C43" s="139" t="s">
        <v>80</v>
      </c>
      <c r="D43" s="140"/>
      <c r="E43" s="11" t="s">
        <v>81</v>
      </c>
      <c r="F43" s="12">
        <v>65</v>
      </c>
      <c r="G43" s="12">
        <v>7.91</v>
      </c>
      <c r="H43" s="12">
        <v>10.09</v>
      </c>
      <c r="I43" s="13">
        <f t="shared" si="0"/>
        <v>514.15</v>
      </c>
      <c r="J43" s="13">
        <f t="shared" si="1"/>
        <v>655.85</v>
      </c>
    </row>
    <row r="44" spans="1:11" s="1" customFormat="1" ht="25.5" customHeight="1" x14ac:dyDescent="0.2">
      <c r="A44" s="11" t="s">
        <v>82</v>
      </c>
      <c r="B44" s="11" t="s">
        <v>83</v>
      </c>
      <c r="C44" s="139" t="s">
        <v>84</v>
      </c>
      <c r="D44" s="140"/>
      <c r="E44" s="11" t="s">
        <v>14</v>
      </c>
      <c r="F44" s="12">
        <v>27.15</v>
      </c>
      <c r="G44" s="12">
        <v>53.52</v>
      </c>
      <c r="H44" s="12">
        <v>68.290000000000006</v>
      </c>
      <c r="I44" s="13">
        <f t="shared" si="0"/>
        <v>1453.068</v>
      </c>
      <c r="J44" s="13">
        <f t="shared" si="1"/>
        <v>1854.0735</v>
      </c>
    </row>
    <row r="45" spans="1:11" s="1" customFormat="1" ht="25.5" customHeight="1" x14ac:dyDescent="0.2">
      <c r="A45" s="11" t="s">
        <v>85</v>
      </c>
      <c r="B45" s="11" t="s">
        <v>86</v>
      </c>
      <c r="C45" s="139" t="s">
        <v>87</v>
      </c>
      <c r="D45" s="140"/>
      <c r="E45" s="11" t="s">
        <v>14</v>
      </c>
      <c r="F45" s="12">
        <v>45.99</v>
      </c>
      <c r="G45" s="12">
        <v>203.72</v>
      </c>
      <c r="H45" s="12">
        <v>259.93</v>
      </c>
      <c r="I45" s="13">
        <f t="shared" si="0"/>
        <v>9369.0828000000001</v>
      </c>
      <c r="J45" s="13">
        <f t="shared" si="1"/>
        <v>11954.180700000001</v>
      </c>
    </row>
    <row r="46" spans="1:11" s="1" customFormat="1" ht="25.5" customHeight="1" x14ac:dyDescent="0.2">
      <c r="A46" s="11" t="s">
        <v>88</v>
      </c>
      <c r="B46" s="11" t="s">
        <v>89</v>
      </c>
      <c r="C46" s="139" t="s">
        <v>90</v>
      </c>
      <c r="D46" s="140"/>
      <c r="E46" s="11" t="s">
        <v>14</v>
      </c>
      <c r="F46" s="12">
        <v>52.74</v>
      </c>
      <c r="G46" s="12">
        <v>310.44</v>
      </c>
      <c r="H46" s="12">
        <v>396.09</v>
      </c>
      <c r="I46" s="13">
        <f t="shared" si="0"/>
        <v>16372.605600000001</v>
      </c>
      <c r="J46" s="13">
        <f t="shared" si="1"/>
        <v>20889.786599999999</v>
      </c>
    </row>
    <row r="47" spans="1:11" s="1" customFormat="1" ht="25.5" customHeight="1" x14ac:dyDescent="0.2">
      <c r="A47" s="10">
        <v>93187</v>
      </c>
      <c r="B47" s="11" t="s">
        <v>91</v>
      </c>
      <c r="C47" s="139" t="s">
        <v>92</v>
      </c>
      <c r="D47" s="140"/>
      <c r="E47" s="11" t="s">
        <v>81</v>
      </c>
      <c r="F47" s="12">
        <v>22.8</v>
      </c>
      <c r="G47" s="12">
        <v>52.6</v>
      </c>
      <c r="H47" s="12">
        <v>67.11</v>
      </c>
      <c r="I47" s="13">
        <f t="shared" si="0"/>
        <v>1199.28</v>
      </c>
      <c r="J47" s="13">
        <f t="shared" si="1"/>
        <v>1530.1079999999999</v>
      </c>
    </row>
    <row r="48" spans="1:11" s="1" customFormat="1" ht="25.5" customHeight="1" x14ac:dyDescent="0.2">
      <c r="A48" s="10">
        <v>93197</v>
      </c>
      <c r="B48" s="11" t="s">
        <v>93</v>
      </c>
      <c r="C48" s="139" t="s">
        <v>94</v>
      </c>
      <c r="D48" s="140"/>
      <c r="E48" s="11" t="s">
        <v>81</v>
      </c>
      <c r="F48" s="12">
        <v>50.68</v>
      </c>
      <c r="G48" s="12">
        <v>49.48</v>
      </c>
      <c r="H48" s="12">
        <v>63.13</v>
      </c>
      <c r="I48" s="13">
        <f t="shared" si="0"/>
        <v>2507.6463999999996</v>
      </c>
      <c r="J48" s="13">
        <f t="shared" si="1"/>
        <v>3199.4284000000002</v>
      </c>
    </row>
    <row r="49" spans="1:10" s="1" customFormat="1" ht="25.5" customHeight="1" x14ac:dyDescent="0.2">
      <c r="A49" s="8"/>
      <c r="B49" s="149" t="s">
        <v>95</v>
      </c>
      <c r="C49" s="150"/>
      <c r="D49" s="150"/>
      <c r="E49" s="150"/>
      <c r="F49" s="150"/>
      <c r="G49" s="151"/>
      <c r="H49" s="8"/>
      <c r="I49" s="14">
        <f>SUM(I42:I48)+0.34</f>
        <v>35889.557999999997</v>
      </c>
      <c r="J49" s="15">
        <f>SUM(J42:J48)+0.32</f>
        <v>45791.503099999994</v>
      </c>
    </row>
    <row r="50" spans="1:10" s="1" customFormat="1" ht="25.5" customHeight="1" x14ac:dyDescent="0.2">
      <c r="A50" s="8"/>
      <c r="B50" s="9" t="s">
        <v>96</v>
      </c>
      <c r="C50" s="137" t="s">
        <v>97</v>
      </c>
      <c r="D50" s="138"/>
      <c r="E50" s="8"/>
      <c r="F50" s="8"/>
      <c r="G50" s="8"/>
      <c r="H50" s="8"/>
      <c r="I50" s="8"/>
      <c r="J50" s="8"/>
    </row>
    <row r="51" spans="1:10" s="1" customFormat="1" ht="25.5" customHeight="1" x14ac:dyDescent="0.2">
      <c r="A51" s="8"/>
      <c r="B51" s="11" t="s">
        <v>98</v>
      </c>
      <c r="C51" s="137" t="s">
        <v>99</v>
      </c>
      <c r="D51" s="138"/>
      <c r="E51" s="8"/>
      <c r="F51" s="8"/>
      <c r="G51" s="8"/>
      <c r="H51" s="8"/>
      <c r="I51" s="8"/>
      <c r="J51" s="8"/>
    </row>
    <row r="52" spans="1:10" s="1" customFormat="1" ht="25.5" customHeight="1" x14ac:dyDescent="0.2">
      <c r="A52" s="10">
        <v>90822</v>
      </c>
      <c r="B52" s="11" t="s">
        <v>100</v>
      </c>
      <c r="C52" s="139" t="s">
        <v>101</v>
      </c>
      <c r="D52" s="140"/>
      <c r="E52" s="11" t="s">
        <v>102</v>
      </c>
      <c r="F52" s="12">
        <v>14</v>
      </c>
      <c r="G52" s="12">
        <v>329.55</v>
      </c>
      <c r="H52" s="12">
        <v>420.47</v>
      </c>
      <c r="I52" s="13">
        <f t="shared" ref="I52:I58" si="2">F52*G52</f>
        <v>4613.7</v>
      </c>
      <c r="J52" s="13">
        <f t="shared" ref="J52:J58" si="3">F52*H52</f>
        <v>5886.58</v>
      </c>
    </row>
    <row r="53" spans="1:10" s="1" customFormat="1" ht="25.5" customHeight="1" x14ac:dyDescent="0.2">
      <c r="A53" s="11" t="s">
        <v>78</v>
      </c>
      <c r="B53" s="11" t="s">
        <v>103</v>
      </c>
      <c r="C53" s="139" t="s">
        <v>104</v>
      </c>
      <c r="D53" s="140"/>
      <c r="E53" s="11" t="s">
        <v>102</v>
      </c>
      <c r="F53" s="12">
        <v>4</v>
      </c>
      <c r="G53" s="12">
        <v>395.46</v>
      </c>
      <c r="H53" s="12">
        <v>504.57</v>
      </c>
      <c r="I53" s="13">
        <f t="shared" si="2"/>
        <v>1581.84</v>
      </c>
      <c r="J53" s="13">
        <f t="shared" si="3"/>
        <v>2018.28</v>
      </c>
    </row>
    <row r="54" spans="1:10" s="1" customFormat="1" ht="25.5" customHeight="1" x14ac:dyDescent="0.2">
      <c r="A54" s="11" t="s">
        <v>78</v>
      </c>
      <c r="B54" s="11" t="s">
        <v>105</v>
      </c>
      <c r="C54" s="139" t="s">
        <v>106</v>
      </c>
      <c r="D54" s="140"/>
      <c r="E54" s="11" t="s">
        <v>102</v>
      </c>
      <c r="F54" s="12">
        <v>14</v>
      </c>
      <c r="G54" s="12">
        <v>222.6</v>
      </c>
      <c r="H54" s="12">
        <v>284.02</v>
      </c>
      <c r="I54" s="13">
        <f t="shared" si="2"/>
        <v>3116.4</v>
      </c>
      <c r="J54" s="13">
        <f t="shared" si="3"/>
        <v>3976.2799999999997</v>
      </c>
    </row>
    <row r="55" spans="1:10" s="1" customFormat="1" ht="25.5" customHeight="1" x14ac:dyDescent="0.2">
      <c r="A55" s="11" t="s">
        <v>78</v>
      </c>
      <c r="B55" s="11" t="s">
        <v>107</v>
      </c>
      <c r="C55" s="139" t="s">
        <v>108</v>
      </c>
      <c r="D55" s="140"/>
      <c r="E55" s="11" t="s">
        <v>102</v>
      </c>
      <c r="F55" s="12">
        <v>6</v>
      </c>
      <c r="G55" s="12">
        <v>222.6</v>
      </c>
      <c r="H55" s="12">
        <v>284.02</v>
      </c>
      <c r="I55" s="13">
        <f t="shared" si="2"/>
        <v>1335.6</v>
      </c>
      <c r="J55" s="13">
        <f t="shared" si="3"/>
        <v>1704.12</v>
      </c>
    </row>
    <row r="56" spans="1:10" s="1" customFormat="1" ht="25.5" customHeight="1" x14ac:dyDescent="0.2">
      <c r="A56" s="10">
        <v>90820</v>
      </c>
      <c r="B56" s="11" t="s">
        <v>109</v>
      </c>
      <c r="C56" s="139" t="s">
        <v>110</v>
      </c>
      <c r="D56" s="140"/>
      <c r="E56" s="11" t="s">
        <v>102</v>
      </c>
      <c r="F56" s="12">
        <v>4</v>
      </c>
      <c r="G56" s="12">
        <v>308.93</v>
      </c>
      <c r="H56" s="12">
        <v>394.16</v>
      </c>
      <c r="I56" s="13">
        <f t="shared" si="2"/>
        <v>1235.72</v>
      </c>
      <c r="J56" s="13">
        <f t="shared" si="3"/>
        <v>1576.64</v>
      </c>
    </row>
    <row r="57" spans="1:10" s="1" customFormat="1" ht="25.5" customHeight="1" x14ac:dyDescent="0.2">
      <c r="A57" s="11" t="s">
        <v>78</v>
      </c>
      <c r="B57" s="11" t="s">
        <v>111</v>
      </c>
      <c r="C57" s="139" t="s">
        <v>112</v>
      </c>
      <c r="D57" s="140"/>
      <c r="E57" s="11" t="s">
        <v>102</v>
      </c>
      <c r="F57" s="12">
        <v>18</v>
      </c>
      <c r="G57" s="12">
        <v>378.98</v>
      </c>
      <c r="H57" s="12">
        <v>483.54</v>
      </c>
      <c r="I57" s="13">
        <f t="shared" si="2"/>
        <v>6821.64</v>
      </c>
      <c r="J57" s="13">
        <f t="shared" si="3"/>
        <v>8703.7200000000012</v>
      </c>
    </row>
    <row r="58" spans="1:10" s="1" customFormat="1" ht="25.5" customHeight="1" x14ac:dyDescent="0.2">
      <c r="A58" s="11" t="s">
        <v>78</v>
      </c>
      <c r="B58" s="11" t="s">
        <v>113</v>
      </c>
      <c r="C58" s="139" t="s">
        <v>114</v>
      </c>
      <c r="D58" s="140"/>
      <c r="E58" s="11" t="s">
        <v>102</v>
      </c>
      <c r="F58" s="12">
        <v>6</v>
      </c>
      <c r="G58" s="12">
        <v>421.82</v>
      </c>
      <c r="H58" s="12">
        <v>538.20000000000005</v>
      </c>
      <c r="I58" s="13">
        <f t="shared" si="2"/>
        <v>2530.92</v>
      </c>
      <c r="J58" s="13">
        <f t="shared" si="3"/>
        <v>3229.2000000000003</v>
      </c>
    </row>
    <row r="59" spans="1:10" s="1" customFormat="1" ht="25.5" customHeight="1" x14ac:dyDescent="0.2">
      <c r="A59" s="8"/>
      <c r="B59" s="149" t="s">
        <v>115</v>
      </c>
      <c r="C59" s="150"/>
      <c r="D59" s="150"/>
      <c r="E59" s="150"/>
      <c r="F59" s="150"/>
      <c r="G59" s="151"/>
      <c r="H59" s="8"/>
      <c r="I59" s="18">
        <f>SUM(I52:I58)</f>
        <v>21235.82</v>
      </c>
      <c r="J59" s="18">
        <f>SUM(J52:J58)-0.04</f>
        <v>27094.78</v>
      </c>
    </row>
    <row r="60" spans="1:10" s="1" customFormat="1" ht="25.5" customHeight="1" x14ac:dyDescent="0.2">
      <c r="A60" s="8"/>
      <c r="B60" s="9" t="s">
        <v>116</v>
      </c>
      <c r="C60" s="137" t="s">
        <v>117</v>
      </c>
      <c r="D60" s="152"/>
      <c r="E60" s="152"/>
      <c r="F60" s="152"/>
      <c r="G60" s="152"/>
      <c r="H60" s="152"/>
      <c r="I60" s="138"/>
      <c r="J60" s="8"/>
    </row>
    <row r="61" spans="1:10" s="1" customFormat="1" ht="25.5" customHeight="1" x14ac:dyDescent="0.2">
      <c r="A61" s="8"/>
      <c r="B61" s="9" t="s">
        <v>118</v>
      </c>
      <c r="C61" s="137" t="s">
        <v>119</v>
      </c>
      <c r="D61" s="138"/>
      <c r="E61" s="8"/>
      <c r="F61" s="8"/>
      <c r="G61" s="8"/>
      <c r="H61" s="8"/>
      <c r="I61" s="8"/>
      <c r="J61" s="8"/>
    </row>
    <row r="62" spans="1:10" s="1" customFormat="1" ht="25.5" customHeight="1" x14ac:dyDescent="0.2">
      <c r="A62" s="11" t="s">
        <v>120</v>
      </c>
      <c r="B62" s="11" t="s">
        <v>121</v>
      </c>
      <c r="C62" s="139" t="s">
        <v>122</v>
      </c>
      <c r="D62" s="140"/>
      <c r="E62" s="11" t="s">
        <v>102</v>
      </c>
      <c r="F62" s="12">
        <v>2</v>
      </c>
      <c r="G62" s="12">
        <v>329.82</v>
      </c>
      <c r="H62" s="12">
        <v>420.82</v>
      </c>
      <c r="I62" s="13">
        <f>F62*G62</f>
        <v>659.64</v>
      </c>
      <c r="J62" s="13">
        <f>F62*H62</f>
        <v>841.64</v>
      </c>
    </row>
    <row r="63" spans="1:10" s="1" customFormat="1" ht="25.5" customHeight="1" x14ac:dyDescent="0.2">
      <c r="A63" s="8"/>
      <c r="B63" s="9" t="s">
        <v>123</v>
      </c>
      <c r="C63" s="137" t="s">
        <v>124</v>
      </c>
      <c r="D63" s="138"/>
      <c r="E63" s="8"/>
      <c r="F63" s="8"/>
      <c r="G63" s="8"/>
      <c r="H63" s="8"/>
      <c r="I63" s="8"/>
      <c r="J63" s="8"/>
    </row>
    <row r="64" spans="1:10" s="1" customFormat="1" ht="25.5" customHeight="1" x14ac:dyDescent="0.2">
      <c r="A64" s="11" t="s">
        <v>78</v>
      </c>
      <c r="B64" s="11" t="s">
        <v>125</v>
      </c>
      <c r="C64" s="139" t="s">
        <v>126</v>
      </c>
      <c r="D64" s="140"/>
      <c r="E64" s="11" t="s">
        <v>102</v>
      </c>
      <c r="F64" s="12">
        <v>6</v>
      </c>
      <c r="G64" s="12">
        <v>179.33</v>
      </c>
      <c r="H64" s="12">
        <v>228.8</v>
      </c>
      <c r="I64" s="13">
        <f t="shared" ref="I64:I83" si="4">F64*G64</f>
        <v>1075.98</v>
      </c>
      <c r="J64" s="13">
        <f t="shared" ref="J64:J83" si="5">F64*H64</f>
        <v>1372.8000000000002</v>
      </c>
    </row>
    <row r="65" spans="1:10" s="1" customFormat="1" ht="25.5" customHeight="1" x14ac:dyDescent="0.2">
      <c r="A65" s="11" t="s">
        <v>78</v>
      </c>
      <c r="B65" s="11" t="s">
        <v>127</v>
      </c>
      <c r="C65" s="139" t="s">
        <v>128</v>
      </c>
      <c r="D65" s="140"/>
      <c r="E65" s="11" t="s">
        <v>102</v>
      </c>
      <c r="F65" s="12">
        <v>15</v>
      </c>
      <c r="G65" s="12">
        <v>268.98</v>
      </c>
      <c r="H65" s="12">
        <v>343.2</v>
      </c>
      <c r="I65" s="13">
        <f t="shared" si="4"/>
        <v>4034.7000000000003</v>
      </c>
      <c r="J65" s="13">
        <f t="shared" si="5"/>
        <v>5148</v>
      </c>
    </row>
    <row r="66" spans="1:10" s="1" customFormat="1" ht="25.5" customHeight="1" x14ac:dyDescent="0.2">
      <c r="A66" s="11" t="s">
        <v>78</v>
      </c>
      <c r="B66" s="11" t="s">
        <v>129</v>
      </c>
      <c r="C66" s="139" t="s">
        <v>130</v>
      </c>
      <c r="D66" s="140"/>
      <c r="E66" s="11" t="s">
        <v>102</v>
      </c>
      <c r="F66" s="12">
        <v>2</v>
      </c>
      <c r="G66" s="12">
        <v>134.49</v>
      </c>
      <c r="H66" s="12">
        <v>171.59</v>
      </c>
      <c r="I66" s="13">
        <f t="shared" si="4"/>
        <v>268.98</v>
      </c>
      <c r="J66" s="13">
        <f t="shared" si="5"/>
        <v>343.18</v>
      </c>
    </row>
    <row r="67" spans="1:10" s="1" customFormat="1" ht="25.5" customHeight="1" x14ac:dyDescent="0.2">
      <c r="A67" s="11" t="s">
        <v>78</v>
      </c>
      <c r="B67" s="11" t="s">
        <v>131</v>
      </c>
      <c r="C67" s="139" t="s">
        <v>132</v>
      </c>
      <c r="D67" s="140"/>
      <c r="E67" s="11" t="s">
        <v>102</v>
      </c>
      <c r="F67" s="12">
        <v>10</v>
      </c>
      <c r="G67" s="12">
        <v>313.92</v>
      </c>
      <c r="H67" s="12">
        <v>400.53</v>
      </c>
      <c r="I67" s="13">
        <f t="shared" si="4"/>
        <v>3139.2000000000003</v>
      </c>
      <c r="J67" s="13">
        <f t="shared" si="5"/>
        <v>4005.2999999999997</v>
      </c>
    </row>
    <row r="68" spans="1:10" s="1" customFormat="1" ht="25.5" customHeight="1" x14ac:dyDescent="0.2">
      <c r="A68" s="11" t="s">
        <v>78</v>
      </c>
      <c r="B68" s="11" t="s">
        <v>133</v>
      </c>
      <c r="C68" s="139" t="s">
        <v>134</v>
      </c>
      <c r="D68" s="140"/>
      <c r="E68" s="11" t="s">
        <v>102</v>
      </c>
      <c r="F68" s="12">
        <v>8</v>
      </c>
      <c r="G68" s="12">
        <v>627.62</v>
      </c>
      <c r="H68" s="12">
        <v>800.79</v>
      </c>
      <c r="I68" s="13">
        <f t="shared" si="4"/>
        <v>5020.96</v>
      </c>
      <c r="J68" s="13">
        <f t="shared" si="5"/>
        <v>6406.32</v>
      </c>
    </row>
    <row r="69" spans="1:10" s="1" customFormat="1" ht="25.5" customHeight="1" x14ac:dyDescent="0.2">
      <c r="A69" s="11" t="s">
        <v>78</v>
      </c>
      <c r="B69" s="11" t="s">
        <v>135</v>
      </c>
      <c r="C69" s="139" t="s">
        <v>136</v>
      </c>
      <c r="D69" s="140"/>
      <c r="E69" s="11" t="s">
        <v>102</v>
      </c>
      <c r="F69" s="12">
        <v>2</v>
      </c>
      <c r="G69" s="12">
        <v>358.64</v>
      </c>
      <c r="H69" s="12">
        <v>457.59</v>
      </c>
      <c r="I69" s="13">
        <f t="shared" si="4"/>
        <v>717.28</v>
      </c>
      <c r="J69" s="13">
        <f t="shared" si="5"/>
        <v>915.18</v>
      </c>
    </row>
    <row r="70" spans="1:10" s="1" customFormat="1" ht="25.5" customHeight="1" x14ac:dyDescent="0.2">
      <c r="A70" s="11" t="s">
        <v>78</v>
      </c>
      <c r="B70" s="11" t="s">
        <v>137</v>
      </c>
      <c r="C70" s="139" t="s">
        <v>138</v>
      </c>
      <c r="D70" s="140"/>
      <c r="E70" s="11" t="s">
        <v>102</v>
      </c>
      <c r="F70" s="12">
        <v>2</v>
      </c>
      <c r="G70" s="12">
        <v>448.3</v>
      </c>
      <c r="H70" s="12">
        <v>571.98</v>
      </c>
      <c r="I70" s="13">
        <f t="shared" si="4"/>
        <v>896.6</v>
      </c>
      <c r="J70" s="13">
        <f t="shared" si="5"/>
        <v>1143.96</v>
      </c>
    </row>
    <row r="71" spans="1:10" s="1" customFormat="1" ht="25.5" customHeight="1" x14ac:dyDescent="0.2">
      <c r="A71" s="11" t="s">
        <v>78</v>
      </c>
      <c r="B71" s="11" t="s">
        <v>139</v>
      </c>
      <c r="C71" s="139" t="s">
        <v>140</v>
      </c>
      <c r="D71" s="140"/>
      <c r="E71" s="11" t="s">
        <v>102</v>
      </c>
      <c r="F71" s="12">
        <v>14</v>
      </c>
      <c r="G71" s="12">
        <v>124.52</v>
      </c>
      <c r="H71" s="12">
        <v>158.88</v>
      </c>
      <c r="I71" s="13">
        <f t="shared" si="4"/>
        <v>1743.28</v>
      </c>
      <c r="J71" s="13">
        <f t="shared" si="5"/>
        <v>2224.3199999999997</v>
      </c>
    </row>
    <row r="72" spans="1:10" s="1" customFormat="1" ht="25.5" customHeight="1" x14ac:dyDescent="0.2">
      <c r="A72" s="11" t="s">
        <v>78</v>
      </c>
      <c r="B72" s="11" t="s">
        <v>141</v>
      </c>
      <c r="C72" s="139" t="s">
        <v>142</v>
      </c>
      <c r="D72" s="140"/>
      <c r="E72" s="11" t="s">
        <v>102</v>
      </c>
      <c r="F72" s="12">
        <v>1</v>
      </c>
      <c r="G72" s="12">
        <v>390.13</v>
      </c>
      <c r="H72" s="12">
        <v>497.77</v>
      </c>
      <c r="I72" s="13">
        <f t="shared" si="4"/>
        <v>390.13</v>
      </c>
      <c r="J72" s="13">
        <f t="shared" si="5"/>
        <v>497.77</v>
      </c>
    </row>
    <row r="73" spans="1:10" s="1" customFormat="1" ht="25.5" customHeight="1" x14ac:dyDescent="0.2">
      <c r="A73" s="11" t="s">
        <v>78</v>
      </c>
      <c r="B73" s="11" t="s">
        <v>143</v>
      </c>
      <c r="C73" s="139" t="s">
        <v>144</v>
      </c>
      <c r="D73" s="140"/>
      <c r="E73" s="11" t="s">
        <v>102</v>
      </c>
      <c r="F73" s="12">
        <v>1</v>
      </c>
      <c r="G73" s="12">
        <v>975.33</v>
      </c>
      <c r="H73" s="13">
        <v>1244.42</v>
      </c>
      <c r="I73" s="13">
        <f t="shared" si="4"/>
        <v>975.33</v>
      </c>
      <c r="J73" s="13">
        <f t="shared" si="5"/>
        <v>1244.42</v>
      </c>
    </row>
    <row r="74" spans="1:10" s="1" customFormat="1" ht="25.5" customHeight="1" x14ac:dyDescent="0.2">
      <c r="A74" s="11" t="s">
        <v>78</v>
      </c>
      <c r="B74" s="11" t="s">
        <v>145</v>
      </c>
      <c r="C74" s="139" t="s">
        <v>146</v>
      </c>
      <c r="D74" s="140"/>
      <c r="E74" s="11" t="s">
        <v>102</v>
      </c>
      <c r="F74" s="12">
        <v>2</v>
      </c>
      <c r="G74" s="12">
        <v>585.20000000000005</v>
      </c>
      <c r="H74" s="12">
        <v>746.65</v>
      </c>
      <c r="I74" s="13">
        <f t="shared" si="4"/>
        <v>1170.4000000000001</v>
      </c>
      <c r="J74" s="13">
        <f t="shared" si="5"/>
        <v>1493.3</v>
      </c>
    </row>
    <row r="75" spans="1:10" s="1" customFormat="1" ht="25.5" customHeight="1" x14ac:dyDescent="0.2">
      <c r="A75" s="11" t="s">
        <v>78</v>
      </c>
      <c r="B75" s="11" t="s">
        <v>147</v>
      </c>
      <c r="C75" s="139" t="s">
        <v>148</v>
      </c>
      <c r="D75" s="140"/>
      <c r="E75" s="11" t="s">
        <v>102</v>
      </c>
      <c r="F75" s="12">
        <v>1</v>
      </c>
      <c r="G75" s="12">
        <v>877.8</v>
      </c>
      <c r="H75" s="13">
        <v>1119.98</v>
      </c>
      <c r="I75" s="13">
        <f t="shared" si="4"/>
        <v>877.8</v>
      </c>
      <c r="J75" s="13">
        <f t="shared" si="5"/>
        <v>1119.98</v>
      </c>
    </row>
    <row r="76" spans="1:10" s="1" customFormat="1" ht="25.5" customHeight="1" x14ac:dyDescent="0.2">
      <c r="A76" s="11" t="s">
        <v>78</v>
      </c>
      <c r="B76" s="11" t="s">
        <v>149</v>
      </c>
      <c r="C76" s="139" t="s">
        <v>150</v>
      </c>
      <c r="D76" s="140"/>
      <c r="E76" s="11" t="s">
        <v>102</v>
      </c>
      <c r="F76" s="12">
        <v>1</v>
      </c>
      <c r="G76" s="13">
        <v>1170.4100000000001</v>
      </c>
      <c r="H76" s="13">
        <v>1493.32</v>
      </c>
      <c r="I76" s="13">
        <f t="shared" si="4"/>
        <v>1170.4100000000001</v>
      </c>
      <c r="J76" s="13">
        <f t="shared" si="5"/>
        <v>1493.32</v>
      </c>
    </row>
    <row r="77" spans="1:10" s="1" customFormat="1" ht="25.5" customHeight="1" x14ac:dyDescent="0.2">
      <c r="A77" s="11" t="s">
        <v>78</v>
      </c>
      <c r="B77" s="11" t="s">
        <v>151</v>
      </c>
      <c r="C77" s="139" t="s">
        <v>152</v>
      </c>
      <c r="D77" s="140"/>
      <c r="E77" s="11" t="s">
        <v>102</v>
      </c>
      <c r="F77" s="12">
        <v>2</v>
      </c>
      <c r="G77" s="13">
        <v>1560.54</v>
      </c>
      <c r="H77" s="13">
        <v>1991.09</v>
      </c>
      <c r="I77" s="13">
        <f t="shared" si="4"/>
        <v>3121.08</v>
      </c>
      <c r="J77" s="13">
        <f t="shared" si="5"/>
        <v>3982.18</v>
      </c>
    </row>
    <row r="78" spans="1:10" s="1" customFormat="1" ht="25.5" customHeight="1" x14ac:dyDescent="0.2">
      <c r="A78" s="11" t="s">
        <v>78</v>
      </c>
      <c r="B78" s="11" t="s">
        <v>153</v>
      </c>
      <c r="C78" s="139" t="s">
        <v>154</v>
      </c>
      <c r="D78" s="140"/>
      <c r="E78" s="11" t="s">
        <v>102</v>
      </c>
      <c r="F78" s="12">
        <v>2</v>
      </c>
      <c r="G78" s="13">
        <v>1950.67</v>
      </c>
      <c r="H78" s="13">
        <v>2488.86</v>
      </c>
      <c r="I78" s="13">
        <f t="shared" si="4"/>
        <v>3901.34</v>
      </c>
      <c r="J78" s="13">
        <f t="shared" si="5"/>
        <v>4977.72</v>
      </c>
    </row>
    <row r="79" spans="1:10" s="1" customFormat="1" ht="25.5" customHeight="1" x14ac:dyDescent="0.2">
      <c r="A79" s="11" t="s">
        <v>78</v>
      </c>
      <c r="B79" s="11" t="s">
        <v>155</v>
      </c>
      <c r="C79" s="139" t="s">
        <v>156</v>
      </c>
      <c r="D79" s="140"/>
      <c r="E79" s="11" t="s">
        <v>102</v>
      </c>
      <c r="F79" s="12">
        <v>5</v>
      </c>
      <c r="G79" s="13">
        <v>2340.81</v>
      </c>
      <c r="H79" s="13">
        <v>2986.64</v>
      </c>
      <c r="I79" s="13">
        <f t="shared" si="4"/>
        <v>11704.05</v>
      </c>
      <c r="J79" s="13">
        <f t="shared" si="5"/>
        <v>14933.199999999999</v>
      </c>
    </row>
    <row r="80" spans="1:10" s="1" customFormat="1" ht="25.5" customHeight="1" x14ac:dyDescent="0.2">
      <c r="A80" s="11" t="s">
        <v>78</v>
      </c>
      <c r="B80" s="11" t="s">
        <v>157</v>
      </c>
      <c r="C80" s="139" t="s">
        <v>158</v>
      </c>
      <c r="D80" s="140"/>
      <c r="E80" s="11" t="s">
        <v>102</v>
      </c>
      <c r="F80" s="12">
        <v>4</v>
      </c>
      <c r="G80" s="13">
        <v>3121.08</v>
      </c>
      <c r="H80" s="13">
        <v>3982.19</v>
      </c>
      <c r="I80" s="13">
        <f t="shared" si="4"/>
        <v>12484.32</v>
      </c>
      <c r="J80" s="13">
        <f t="shared" si="5"/>
        <v>15928.76</v>
      </c>
    </row>
    <row r="81" spans="1:10" s="1" customFormat="1" ht="25.5" customHeight="1" x14ac:dyDescent="0.2">
      <c r="A81" s="11" t="s">
        <v>78</v>
      </c>
      <c r="B81" s="11" t="s">
        <v>159</v>
      </c>
      <c r="C81" s="139" t="s">
        <v>160</v>
      </c>
      <c r="D81" s="140"/>
      <c r="E81" s="11" t="s">
        <v>102</v>
      </c>
      <c r="F81" s="12">
        <v>1</v>
      </c>
      <c r="G81" s="13">
        <v>1137.9000000000001</v>
      </c>
      <c r="H81" s="13">
        <v>1451.84</v>
      </c>
      <c r="I81" s="13">
        <f t="shared" si="4"/>
        <v>1137.9000000000001</v>
      </c>
      <c r="J81" s="13">
        <f t="shared" si="5"/>
        <v>1451.84</v>
      </c>
    </row>
    <row r="82" spans="1:10" s="1" customFormat="1" ht="25.5" customHeight="1" x14ac:dyDescent="0.2">
      <c r="A82" s="11" t="s">
        <v>161</v>
      </c>
      <c r="B82" s="11" t="s">
        <v>162</v>
      </c>
      <c r="C82" s="139" t="s">
        <v>163</v>
      </c>
      <c r="D82" s="140"/>
      <c r="E82" s="11" t="s">
        <v>14</v>
      </c>
      <c r="F82" s="12">
        <v>10.26</v>
      </c>
      <c r="G82" s="12">
        <v>18.63</v>
      </c>
      <c r="H82" s="12">
        <v>23.77</v>
      </c>
      <c r="I82" s="13">
        <f t="shared" si="4"/>
        <v>191.1438</v>
      </c>
      <c r="J82" s="13">
        <f t="shared" si="5"/>
        <v>243.8802</v>
      </c>
    </row>
    <row r="83" spans="1:10" s="1" customFormat="1" ht="25.5" customHeight="1" x14ac:dyDescent="0.2">
      <c r="A83" s="11" t="s">
        <v>120</v>
      </c>
      <c r="B83" s="11" t="s">
        <v>164</v>
      </c>
      <c r="C83" s="139" t="s">
        <v>165</v>
      </c>
      <c r="D83" s="140"/>
      <c r="E83" s="11" t="s">
        <v>102</v>
      </c>
      <c r="F83" s="12">
        <v>9</v>
      </c>
      <c r="G83" s="12">
        <v>582.46</v>
      </c>
      <c r="H83" s="12">
        <v>743.16</v>
      </c>
      <c r="I83" s="13">
        <f t="shared" si="4"/>
        <v>5242.1400000000003</v>
      </c>
      <c r="J83" s="13">
        <f t="shared" si="5"/>
        <v>6688.44</v>
      </c>
    </row>
    <row r="84" spans="1:10" s="1" customFormat="1" ht="25.5" customHeight="1" x14ac:dyDescent="0.2">
      <c r="A84" s="8"/>
      <c r="B84" s="9" t="s">
        <v>172</v>
      </c>
      <c r="C84" s="137" t="s">
        <v>173</v>
      </c>
      <c r="D84" s="138"/>
      <c r="E84" s="8"/>
      <c r="F84" s="8"/>
      <c r="G84" s="8"/>
      <c r="H84" s="8"/>
      <c r="I84" s="8"/>
      <c r="J84" s="8"/>
    </row>
    <row r="85" spans="1:10" s="1" customFormat="1" ht="25.5" customHeight="1" x14ac:dyDescent="0.2">
      <c r="A85" s="19">
        <v>68054</v>
      </c>
      <c r="B85" s="11" t="s">
        <v>174</v>
      </c>
      <c r="C85" s="139" t="s">
        <v>175</v>
      </c>
      <c r="D85" s="140"/>
      <c r="E85" s="11" t="s">
        <v>102</v>
      </c>
      <c r="F85" s="12">
        <v>5</v>
      </c>
      <c r="G85" s="12">
        <v>180.11</v>
      </c>
      <c r="H85" s="12">
        <v>229.8</v>
      </c>
      <c r="I85" s="13">
        <f>F85*G85</f>
        <v>900.55000000000007</v>
      </c>
      <c r="J85" s="13">
        <f>F85*H85</f>
        <v>1149</v>
      </c>
    </row>
    <row r="86" spans="1:10" s="1" customFormat="1" ht="25.5" customHeight="1" x14ac:dyDescent="0.2">
      <c r="A86" s="19">
        <v>68054</v>
      </c>
      <c r="B86" s="11" t="s">
        <v>176</v>
      </c>
      <c r="C86" s="139" t="s">
        <v>177</v>
      </c>
      <c r="D86" s="140"/>
      <c r="E86" s="11" t="s">
        <v>102</v>
      </c>
      <c r="F86" s="12">
        <v>1</v>
      </c>
      <c r="G86" s="12">
        <v>327.47000000000003</v>
      </c>
      <c r="H86" s="12">
        <v>417.81</v>
      </c>
      <c r="I86" s="13">
        <f>F86*G86</f>
        <v>327.47000000000003</v>
      </c>
      <c r="J86" s="13">
        <f>F86*H86</f>
        <v>417.81</v>
      </c>
    </row>
    <row r="87" spans="1:10" s="1" customFormat="1" ht="25.5" customHeight="1" x14ac:dyDescent="0.2">
      <c r="A87" s="2" t="s">
        <v>178</v>
      </c>
      <c r="B87" s="11" t="s">
        <v>179</v>
      </c>
      <c r="C87" s="139" t="s">
        <v>180</v>
      </c>
      <c r="D87" s="140"/>
      <c r="E87" s="11" t="s">
        <v>14</v>
      </c>
      <c r="F87" s="12">
        <v>12.6</v>
      </c>
      <c r="G87" s="12">
        <v>381.87</v>
      </c>
      <c r="H87" s="12">
        <v>487.23</v>
      </c>
      <c r="I87" s="13">
        <f>F87*G87</f>
        <v>4811.5619999999999</v>
      </c>
      <c r="J87" s="13">
        <f>F87*H87</f>
        <v>6139.098</v>
      </c>
    </row>
    <row r="88" spans="1:10" s="1" customFormat="1" ht="25.5" customHeight="1" x14ac:dyDescent="0.2">
      <c r="A88" s="8"/>
      <c r="B88" s="149" t="s">
        <v>181</v>
      </c>
      <c r="C88" s="150"/>
      <c r="D88" s="150"/>
      <c r="E88" s="150"/>
      <c r="F88" s="150"/>
      <c r="G88" s="151"/>
      <c r="H88" s="8"/>
      <c r="I88" s="18">
        <f>SUM(I62:I87)+0.09</f>
        <v>65962.335800000001</v>
      </c>
      <c r="J88" s="18">
        <f>SUM(J62:J87)-0.07</f>
        <v>84161.348199999979</v>
      </c>
    </row>
    <row r="89" spans="1:10" s="1" customFormat="1" ht="25.5" customHeight="1" x14ac:dyDescent="0.2">
      <c r="A89" s="8"/>
      <c r="B89" s="46"/>
      <c r="C89" s="149" t="s">
        <v>182</v>
      </c>
      <c r="D89" s="150"/>
      <c r="E89" s="150"/>
      <c r="F89" s="150"/>
      <c r="G89" s="151"/>
      <c r="H89" s="8"/>
      <c r="I89" s="14">
        <f>SUM(I59,I88)</f>
        <v>87198.155800000008</v>
      </c>
      <c r="J89" s="15">
        <f>SUM(J59,J88)+0.01</f>
        <v>111256.13819999997</v>
      </c>
    </row>
    <row r="90" spans="1:10" s="1" customFormat="1" ht="25.5" customHeight="1" x14ac:dyDescent="0.2">
      <c r="A90" s="8"/>
      <c r="B90" s="9" t="s">
        <v>183</v>
      </c>
      <c r="C90" s="137" t="s">
        <v>184</v>
      </c>
      <c r="D90" s="152"/>
      <c r="E90" s="152"/>
      <c r="F90" s="152"/>
      <c r="G90" s="152"/>
      <c r="H90" s="152"/>
      <c r="I90" s="138"/>
      <c r="J90" s="8"/>
    </row>
    <row r="91" spans="1:10" s="1" customFormat="1" ht="25.5" customHeight="1" x14ac:dyDescent="0.2">
      <c r="A91" s="2" t="s">
        <v>185</v>
      </c>
      <c r="B91" s="11" t="s">
        <v>186</v>
      </c>
      <c r="C91" s="139" t="s">
        <v>187</v>
      </c>
      <c r="D91" s="140"/>
      <c r="E91" s="11" t="s">
        <v>14</v>
      </c>
      <c r="F91" s="12">
        <v>13.8</v>
      </c>
      <c r="G91" s="12">
        <v>319.5</v>
      </c>
      <c r="H91" s="12">
        <v>407.65</v>
      </c>
      <c r="I91" s="13">
        <f>F91*G91</f>
        <v>4409.1000000000004</v>
      </c>
      <c r="J91" s="13">
        <f>F91*H91</f>
        <v>5625.57</v>
      </c>
    </row>
    <row r="92" spans="1:10" s="1" customFormat="1" ht="25.5" customHeight="1" x14ac:dyDescent="0.2">
      <c r="A92" s="19">
        <v>85005</v>
      </c>
      <c r="B92" s="11" t="s">
        <v>188</v>
      </c>
      <c r="C92" s="139" t="s">
        <v>189</v>
      </c>
      <c r="D92" s="140"/>
      <c r="E92" s="11" t="s">
        <v>14</v>
      </c>
      <c r="F92" s="12">
        <v>7</v>
      </c>
      <c r="G92" s="12">
        <v>347.14</v>
      </c>
      <c r="H92" s="12">
        <v>442.91</v>
      </c>
      <c r="I92" s="13">
        <f>F92*G92</f>
        <v>2429.98</v>
      </c>
      <c r="J92" s="13">
        <f>F92*H92</f>
        <v>3100.3700000000003</v>
      </c>
    </row>
    <row r="93" spans="1:10" s="1" customFormat="1" ht="25.5" customHeight="1" x14ac:dyDescent="0.2">
      <c r="A93" s="8"/>
      <c r="B93" s="149" t="s">
        <v>190</v>
      </c>
      <c r="C93" s="150"/>
      <c r="D93" s="150"/>
      <c r="E93" s="150"/>
      <c r="F93" s="150"/>
      <c r="G93" s="151"/>
      <c r="H93" s="8"/>
      <c r="I93" s="14">
        <f>SUM(I91:I92)-0.01</f>
        <v>6839.07</v>
      </c>
      <c r="J93" s="15">
        <f>SUM(J91:J92)+0.03</f>
        <v>8725.9700000000012</v>
      </c>
    </row>
    <row r="94" spans="1:10" s="1" customFormat="1" ht="25.5" customHeight="1" x14ac:dyDescent="0.2">
      <c r="A94" s="8"/>
      <c r="B94" s="9" t="s">
        <v>191</v>
      </c>
      <c r="C94" s="137" t="s">
        <v>192</v>
      </c>
      <c r="D94" s="152"/>
      <c r="E94" s="152"/>
      <c r="F94" s="152"/>
      <c r="G94" s="152"/>
      <c r="H94" s="152"/>
      <c r="I94" s="138"/>
      <c r="J94" s="8"/>
    </row>
    <row r="95" spans="1:10" s="1" customFormat="1" ht="25.5" customHeight="1" x14ac:dyDescent="0.2">
      <c r="A95" s="19">
        <v>92539</v>
      </c>
      <c r="B95" s="11" t="s">
        <v>193</v>
      </c>
      <c r="C95" s="139" t="s">
        <v>194</v>
      </c>
      <c r="D95" s="140"/>
      <c r="E95" s="11" t="s">
        <v>14</v>
      </c>
      <c r="F95" s="13">
        <v>1271.78</v>
      </c>
      <c r="G95" s="12">
        <v>52.1</v>
      </c>
      <c r="H95" s="12">
        <v>66.48</v>
      </c>
      <c r="I95" s="13">
        <f t="shared" ref="I95:I100" si="6">F95*G95</f>
        <v>66259.737999999998</v>
      </c>
      <c r="J95" s="13">
        <f t="shared" ref="J95:J100" si="7">F95*H95</f>
        <v>84547.934399999998</v>
      </c>
    </row>
    <row r="96" spans="1:10" s="1" customFormat="1" ht="25.5" customHeight="1" x14ac:dyDescent="0.2">
      <c r="A96" s="19">
        <v>94195</v>
      </c>
      <c r="B96" s="11" t="s">
        <v>195</v>
      </c>
      <c r="C96" s="139" t="s">
        <v>196</v>
      </c>
      <c r="D96" s="140"/>
      <c r="E96" s="11" t="s">
        <v>14</v>
      </c>
      <c r="F96" s="13">
        <v>1264.78</v>
      </c>
      <c r="G96" s="12">
        <v>15.24</v>
      </c>
      <c r="H96" s="12">
        <v>19.440000000000001</v>
      </c>
      <c r="I96" s="13">
        <f t="shared" si="6"/>
        <v>19275.247200000002</v>
      </c>
      <c r="J96" s="13">
        <f t="shared" si="7"/>
        <v>24587.323200000003</v>
      </c>
    </row>
    <row r="97" spans="1:11" s="1" customFormat="1" ht="25.5" customHeight="1" x14ac:dyDescent="0.2">
      <c r="A97" s="19">
        <v>94444</v>
      </c>
      <c r="B97" s="11" t="s">
        <v>197</v>
      </c>
      <c r="C97" s="139" t="s">
        <v>198</v>
      </c>
      <c r="D97" s="140"/>
      <c r="E97" s="11" t="s">
        <v>14</v>
      </c>
      <c r="F97" s="12">
        <v>7</v>
      </c>
      <c r="G97" s="12">
        <v>584.54999999999995</v>
      </c>
      <c r="H97" s="12">
        <v>745.83</v>
      </c>
      <c r="I97" s="13">
        <f t="shared" si="6"/>
        <v>4091.8499999999995</v>
      </c>
      <c r="J97" s="13">
        <f t="shared" si="7"/>
        <v>5220.8100000000004</v>
      </c>
    </row>
    <row r="98" spans="1:11" s="1" customFormat="1" ht="25.5" customHeight="1" x14ac:dyDescent="0.2">
      <c r="A98" s="19">
        <v>94219</v>
      </c>
      <c r="B98" s="11" t="s">
        <v>199</v>
      </c>
      <c r="C98" s="139" t="s">
        <v>200</v>
      </c>
      <c r="D98" s="140"/>
      <c r="E98" s="11" t="s">
        <v>81</v>
      </c>
      <c r="F98" s="12">
        <v>154.99</v>
      </c>
      <c r="G98" s="12">
        <v>18.86</v>
      </c>
      <c r="H98" s="12">
        <v>24.07</v>
      </c>
      <c r="I98" s="13">
        <f t="shared" si="6"/>
        <v>2923.1114000000002</v>
      </c>
      <c r="J98" s="13">
        <f t="shared" si="7"/>
        <v>3730.6093000000001</v>
      </c>
    </row>
    <row r="99" spans="1:11" s="1" customFormat="1" ht="25.5" customHeight="1" x14ac:dyDescent="0.2">
      <c r="A99" s="19">
        <v>94228</v>
      </c>
      <c r="B99" s="11" t="s">
        <v>201</v>
      </c>
      <c r="C99" s="139" t="s">
        <v>202</v>
      </c>
      <c r="D99" s="140"/>
      <c r="E99" s="11" t="s">
        <v>81</v>
      </c>
      <c r="F99" s="12">
        <v>2.5</v>
      </c>
      <c r="G99" s="12">
        <v>42.78</v>
      </c>
      <c r="H99" s="12">
        <v>54.58</v>
      </c>
      <c r="I99" s="13">
        <f t="shared" si="6"/>
        <v>106.95</v>
      </c>
      <c r="J99" s="13">
        <f t="shared" si="7"/>
        <v>136.44999999999999</v>
      </c>
    </row>
    <row r="100" spans="1:11" s="1" customFormat="1" ht="25.5" customHeight="1" x14ac:dyDescent="0.2">
      <c r="A100" s="2" t="s">
        <v>203</v>
      </c>
      <c r="B100" s="11" t="s">
        <v>204</v>
      </c>
      <c r="C100" s="139" t="s">
        <v>205</v>
      </c>
      <c r="D100" s="140"/>
      <c r="E100" s="11" t="s">
        <v>81</v>
      </c>
      <c r="F100" s="12">
        <v>107</v>
      </c>
      <c r="G100" s="12">
        <v>20.81</v>
      </c>
      <c r="H100" s="12">
        <v>26.55</v>
      </c>
      <c r="I100" s="13">
        <f t="shared" si="6"/>
        <v>2226.67</v>
      </c>
      <c r="J100" s="13">
        <f t="shared" si="7"/>
        <v>2840.85</v>
      </c>
    </row>
    <row r="101" spans="1:11" s="1" customFormat="1" ht="25.5" customHeight="1" x14ac:dyDescent="0.2">
      <c r="A101" s="8"/>
      <c r="B101" s="149" t="s">
        <v>206</v>
      </c>
      <c r="C101" s="150"/>
      <c r="D101" s="150"/>
      <c r="E101" s="150"/>
      <c r="F101" s="150"/>
      <c r="G101" s="151"/>
      <c r="H101" s="8"/>
      <c r="I101" s="14">
        <f>SUM(I95:I100)-2.13</f>
        <v>94881.436599999986</v>
      </c>
      <c r="J101" s="15">
        <f>SUM(J95:J100)-4.75</f>
        <v>121059.22689999999</v>
      </c>
      <c r="K101" s="49"/>
    </row>
    <row r="102" spans="1:11" s="1" customFormat="1" ht="25.5" customHeight="1" x14ac:dyDescent="0.2">
      <c r="A102" s="8"/>
      <c r="B102" s="9" t="s">
        <v>207</v>
      </c>
      <c r="C102" s="137" t="s">
        <v>208</v>
      </c>
      <c r="D102" s="152"/>
      <c r="E102" s="152"/>
      <c r="F102" s="152"/>
      <c r="G102" s="152"/>
      <c r="H102" s="152"/>
      <c r="I102" s="138"/>
      <c r="J102" s="8"/>
    </row>
    <row r="103" spans="1:11" s="1" customFormat="1" ht="25.5" customHeight="1" x14ac:dyDescent="0.2">
      <c r="A103" s="2" t="s">
        <v>209</v>
      </c>
      <c r="B103" s="11" t="s">
        <v>210</v>
      </c>
      <c r="C103" s="139" t="s">
        <v>211</v>
      </c>
      <c r="D103" s="140"/>
      <c r="E103" s="11" t="s">
        <v>14</v>
      </c>
      <c r="F103" s="12">
        <v>755</v>
      </c>
      <c r="G103" s="12">
        <v>7.73</v>
      </c>
      <c r="H103" s="12">
        <v>9.86</v>
      </c>
      <c r="I103" s="13">
        <f>F103*G103</f>
        <v>5836.1500000000005</v>
      </c>
      <c r="J103" s="13">
        <f>F103*H103</f>
        <v>7444.2999999999993</v>
      </c>
    </row>
    <row r="104" spans="1:11" s="1" customFormat="1" ht="25.5" customHeight="1" x14ac:dyDescent="0.2">
      <c r="A104" s="2" t="s">
        <v>212</v>
      </c>
      <c r="B104" s="11" t="s">
        <v>213</v>
      </c>
      <c r="C104" s="139" t="s">
        <v>214</v>
      </c>
      <c r="D104" s="140"/>
      <c r="E104" s="11" t="s">
        <v>14</v>
      </c>
      <c r="F104" s="12">
        <v>77</v>
      </c>
      <c r="G104" s="12">
        <v>29.51</v>
      </c>
      <c r="H104" s="12">
        <v>37.65</v>
      </c>
      <c r="I104" s="13">
        <f>F104*G104</f>
        <v>2272.27</v>
      </c>
      <c r="J104" s="13">
        <f>F104*H104</f>
        <v>2899.0499999999997</v>
      </c>
    </row>
    <row r="105" spans="1:11" s="1" customFormat="1" ht="25.5" customHeight="1" x14ac:dyDescent="0.2">
      <c r="A105" s="2" t="s">
        <v>215</v>
      </c>
      <c r="B105" s="11" t="s">
        <v>216</v>
      </c>
      <c r="C105" s="139" t="s">
        <v>217</v>
      </c>
      <c r="D105" s="140"/>
      <c r="E105" s="11" t="s">
        <v>14</v>
      </c>
      <c r="F105" s="12">
        <v>105</v>
      </c>
      <c r="G105" s="12">
        <v>14.07</v>
      </c>
      <c r="H105" s="12">
        <v>17.95</v>
      </c>
      <c r="I105" s="13">
        <f>F105*G105</f>
        <v>1477.3500000000001</v>
      </c>
      <c r="J105" s="13">
        <f>F105*H105</f>
        <v>1884.75</v>
      </c>
    </row>
    <row r="106" spans="1:11" s="1" customFormat="1" ht="25.5" customHeight="1" x14ac:dyDescent="0.2">
      <c r="A106" s="2" t="s">
        <v>215</v>
      </c>
      <c r="B106" s="11" t="s">
        <v>218</v>
      </c>
      <c r="C106" s="139" t="s">
        <v>219</v>
      </c>
      <c r="D106" s="140"/>
      <c r="E106" s="11" t="s">
        <v>14</v>
      </c>
      <c r="F106" s="12">
        <v>221.45</v>
      </c>
      <c r="G106" s="12">
        <v>14.07</v>
      </c>
      <c r="H106" s="12">
        <v>17.95</v>
      </c>
      <c r="I106" s="13">
        <f>F106*G106</f>
        <v>3115.8015</v>
      </c>
      <c r="J106" s="13">
        <f>F106*H106</f>
        <v>3975.0274999999997</v>
      </c>
    </row>
    <row r="107" spans="1:11" s="1" customFormat="1" ht="25.5" customHeight="1" x14ac:dyDescent="0.2">
      <c r="A107" s="8"/>
      <c r="B107" s="149" t="s">
        <v>220</v>
      </c>
      <c r="C107" s="150"/>
      <c r="D107" s="150"/>
      <c r="E107" s="150"/>
      <c r="F107" s="150"/>
      <c r="G107" s="151"/>
      <c r="H107" s="8"/>
      <c r="I107" s="14">
        <f>SUM(I103:I106)-0.15</f>
        <v>12701.4215</v>
      </c>
      <c r="J107" s="15">
        <f>SUM(J103:J106)+2.62</f>
        <v>16205.747499999999</v>
      </c>
      <c r="K107" s="49">
        <f>J107-16205.75</f>
        <v>-2.500000000509317E-3</v>
      </c>
    </row>
    <row r="108" spans="1:11" s="1" customFormat="1" ht="25.5" customHeight="1" x14ac:dyDescent="0.2">
      <c r="A108" s="8"/>
      <c r="B108" s="9" t="s">
        <v>221</v>
      </c>
      <c r="C108" s="137" t="s">
        <v>222</v>
      </c>
      <c r="D108" s="152"/>
      <c r="E108" s="152"/>
      <c r="F108" s="152"/>
      <c r="G108" s="152"/>
      <c r="H108" s="152"/>
      <c r="I108" s="138"/>
      <c r="J108" s="8"/>
    </row>
    <row r="109" spans="1:11" s="1" customFormat="1" ht="25.5" customHeight="1" x14ac:dyDescent="0.2">
      <c r="A109" s="8"/>
      <c r="B109" s="9" t="s">
        <v>223</v>
      </c>
      <c r="C109" s="137" t="s">
        <v>224</v>
      </c>
      <c r="D109" s="152"/>
      <c r="E109" s="152"/>
      <c r="F109" s="152"/>
      <c r="G109" s="152"/>
      <c r="H109" s="152"/>
      <c r="I109" s="138"/>
      <c r="J109" s="8"/>
    </row>
    <row r="110" spans="1:11" s="1" customFormat="1" ht="25.5" customHeight="1" x14ac:dyDescent="0.2">
      <c r="A110" s="8"/>
      <c r="B110" s="9" t="s">
        <v>225</v>
      </c>
      <c r="C110" s="137" t="s">
        <v>226</v>
      </c>
      <c r="D110" s="138"/>
      <c r="E110" s="8"/>
      <c r="F110" s="8"/>
      <c r="G110" s="8"/>
      <c r="H110" s="8"/>
      <c r="I110" s="8"/>
      <c r="J110" s="8"/>
    </row>
    <row r="111" spans="1:11" s="1" customFormat="1" ht="25.5" customHeight="1" x14ac:dyDescent="0.2">
      <c r="A111" s="19">
        <v>87775</v>
      </c>
      <c r="B111" s="11" t="s">
        <v>227</v>
      </c>
      <c r="C111" s="139" t="s">
        <v>228</v>
      </c>
      <c r="D111" s="140"/>
      <c r="E111" s="11" t="s">
        <v>14</v>
      </c>
      <c r="F111" s="12">
        <v>95.92</v>
      </c>
      <c r="G111" s="12">
        <v>37.78</v>
      </c>
      <c r="H111" s="12">
        <v>48.21</v>
      </c>
      <c r="I111" s="13">
        <f>F111*G111</f>
        <v>3623.8576000000003</v>
      </c>
      <c r="J111" s="13">
        <f>F111*H111</f>
        <v>4624.3032000000003</v>
      </c>
    </row>
    <row r="112" spans="1:11" s="1" customFormat="1" ht="25.5" customHeight="1" x14ac:dyDescent="0.2">
      <c r="A112" s="2" t="s">
        <v>229</v>
      </c>
      <c r="B112" s="11" t="s">
        <v>230</v>
      </c>
      <c r="C112" s="139" t="s">
        <v>231</v>
      </c>
      <c r="D112" s="140"/>
      <c r="E112" s="11" t="s">
        <v>14</v>
      </c>
      <c r="F112" s="12">
        <v>80.91</v>
      </c>
      <c r="G112" s="12">
        <v>21.63</v>
      </c>
      <c r="H112" s="12">
        <v>27.59</v>
      </c>
      <c r="I112" s="13">
        <f>F112*G112</f>
        <v>1750.0832999999998</v>
      </c>
      <c r="J112" s="13">
        <f>F112*H112</f>
        <v>2232.3069</v>
      </c>
    </row>
    <row r="113" spans="1:11" s="1" customFormat="1" ht="25.5" customHeight="1" x14ac:dyDescent="0.2">
      <c r="A113" s="19">
        <v>87265</v>
      </c>
      <c r="B113" s="11" t="s">
        <v>232</v>
      </c>
      <c r="C113" s="139" t="s">
        <v>233</v>
      </c>
      <c r="D113" s="140"/>
      <c r="E113" s="11" t="s">
        <v>14</v>
      </c>
      <c r="F113" s="12">
        <v>959.21</v>
      </c>
      <c r="G113" s="12">
        <v>31.09</v>
      </c>
      <c r="H113" s="12">
        <v>39.659999999999997</v>
      </c>
      <c r="I113" s="13">
        <f>F113*G113</f>
        <v>29821.838900000002</v>
      </c>
      <c r="J113" s="13">
        <f>F113*H113</f>
        <v>38042.268599999996</v>
      </c>
    </row>
    <row r="114" spans="1:11" s="1" customFormat="1" ht="25.5" customHeight="1" x14ac:dyDescent="0.2">
      <c r="A114" s="8"/>
      <c r="B114" s="9" t="s">
        <v>234</v>
      </c>
      <c r="C114" s="137" t="s">
        <v>235</v>
      </c>
      <c r="D114" s="138"/>
      <c r="E114" s="8"/>
      <c r="F114" s="8"/>
      <c r="G114" s="8"/>
      <c r="H114" s="8"/>
      <c r="I114" s="8"/>
      <c r="J114" s="8"/>
    </row>
    <row r="115" spans="1:11" s="1" customFormat="1" ht="25.5" customHeight="1" x14ac:dyDescent="0.2">
      <c r="A115" s="2" t="s">
        <v>236</v>
      </c>
      <c r="B115" s="11" t="s">
        <v>237</v>
      </c>
      <c r="C115" s="139" t="s">
        <v>231</v>
      </c>
      <c r="D115" s="140"/>
      <c r="E115" s="11" t="s">
        <v>14</v>
      </c>
      <c r="F115" s="12">
        <v>724.74</v>
      </c>
      <c r="G115" s="12">
        <v>22.03</v>
      </c>
      <c r="H115" s="12">
        <v>28.11</v>
      </c>
      <c r="I115" s="13">
        <f>F115*G115</f>
        <v>15966.022200000001</v>
      </c>
      <c r="J115" s="13">
        <f>F115*H115</f>
        <v>20372.4414</v>
      </c>
    </row>
    <row r="116" spans="1:11" s="1" customFormat="1" ht="25.5" customHeight="1" x14ac:dyDescent="0.2">
      <c r="A116" s="8"/>
      <c r="B116" s="149" t="s">
        <v>238</v>
      </c>
      <c r="C116" s="150"/>
      <c r="D116" s="150"/>
      <c r="E116" s="150"/>
      <c r="F116" s="150"/>
      <c r="G116" s="151"/>
      <c r="H116" s="8"/>
      <c r="I116" s="18">
        <f>SUM(I111:I115)</f>
        <v>51161.802000000003</v>
      </c>
      <c r="J116" s="18">
        <f>SUM(J111:J115)</f>
        <v>65271.320099999997</v>
      </c>
    </row>
    <row r="117" spans="1:11" s="1" customFormat="1" ht="25.5" customHeight="1" x14ac:dyDescent="0.2">
      <c r="A117" s="8"/>
      <c r="B117" s="9" t="s">
        <v>239</v>
      </c>
      <c r="C117" s="137" t="s">
        <v>240</v>
      </c>
      <c r="D117" s="152"/>
      <c r="E117" s="152"/>
      <c r="F117" s="152"/>
      <c r="G117" s="152"/>
      <c r="H117" s="152"/>
      <c r="I117" s="138"/>
      <c r="J117" s="8"/>
    </row>
    <row r="118" spans="1:11" s="1" customFormat="1" ht="25.5" customHeight="1" x14ac:dyDescent="0.2">
      <c r="A118" s="8"/>
      <c r="B118" s="9" t="s">
        <v>241</v>
      </c>
      <c r="C118" s="137" t="s">
        <v>242</v>
      </c>
      <c r="D118" s="138"/>
      <c r="E118" s="8"/>
      <c r="F118" s="8"/>
      <c r="G118" s="8"/>
      <c r="H118" s="8"/>
      <c r="I118" s="8"/>
      <c r="J118" s="8"/>
    </row>
    <row r="119" spans="1:11" s="1" customFormat="1" ht="25.5" customHeight="1" x14ac:dyDescent="0.2">
      <c r="A119" s="19">
        <v>87905</v>
      </c>
      <c r="B119" s="11" t="s">
        <v>243</v>
      </c>
      <c r="C119" s="139" t="s">
        <v>244</v>
      </c>
      <c r="D119" s="140"/>
      <c r="E119" s="11" t="s">
        <v>14</v>
      </c>
      <c r="F119" s="12">
        <v>290.31</v>
      </c>
      <c r="G119" s="12">
        <v>5.81</v>
      </c>
      <c r="H119" s="12">
        <v>7.41</v>
      </c>
      <c r="I119" s="13">
        <f>F119*G119</f>
        <v>1686.7011</v>
      </c>
      <c r="J119" s="13">
        <f>F119*H119</f>
        <v>2151.1970999999999</v>
      </c>
    </row>
    <row r="120" spans="1:11" s="1" customFormat="1" ht="25.5" customHeight="1" x14ac:dyDescent="0.2">
      <c r="A120" s="19">
        <v>87775</v>
      </c>
      <c r="B120" s="11" t="s">
        <v>245</v>
      </c>
      <c r="C120" s="139" t="s">
        <v>228</v>
      </c>
      <c r="D120" s="140"/>
      <c r="E120" s="11" t="s">
        <v>14</v>
      </c>
      <c r="F120" s="12">
        <v>128.88</v>
      </c>
      <c r="G120" s="12">
        <v>37.78</v>
      </c>
      <c r="H120" s="12">
        <v>48.21</v>
      </c>
      <c r="I120" s="13">
        <f>F120*G120</f>
        <v>4869.0864000000001</v>
      </c>
      <c r="J120" s="13">
        <f>F120*H120</f>
        <v>6213.3047999999999</v>
      </c>
    </row>
    <row r="121" spans="1:11" s="1" customFormat="1" ht="25.5" customHeight="1" x14ac:dyDescent="0.2">
      <c r="A121" s="2" t="s">
        <v>229</v>
      </c>
      <c r="B121" s="11" t="s">
        <v>246</v>
      </c>
      <c r="C121" s="139" t="s">
        <v>231</v>
      </c>
      <c r="D121" s="140"/>
      <c r="E121" s="11" t="s">
        <v>14</v>
      </c>
      <c r="F121" s="12">
        <v>161.43</v>
      </c>
      <c r="G121" s="12">
        <v>21.63</v>
      </c>
      <c r="H121" s="12">
        <v>27.59</v>
      </c>
      <c r="I121" s="13">
        <f>F121*G121</f>
        <v>3491.7309</v>
      </c>
      <c r="J121" s="13">
        <f>F121*H121</f>
        <v>4453.8537000000006</v>
      </c>
    </row>
    <row r="122" spans="1:11" s="1" customFormat="1" ht="25.5" customHeight="1" x14ac:dyDescent="0.2">
      <c r="A122" s="2" t="s">
        <v>247</v>
      </c>
      <c r="B122" s="11" t="s">
        <v>248</v>
      </c>
      <c r="C122" s="139" t="s">
        <v>249</v>
      </c>
      <c r="D122" s="140"/>
      <c r="E122" s="11" t="s">
        <v>14</v>
      </c>
      <c r="F122" s="12">
        <v>460.27</v>
      </c>
      <c r="G122" s="12">
        <v>38.770000000000003</v>
      </c>
      <c r="H122" s="12">
        <v>49.47</v>
      </c>
      <c r="I122" s="13">
        <f>F122*G122</f>
        <v>17844.6679</v>
      </c>
      <c r="J122" s="13">
        <f>F122*H122</f>
        <v>22769.5569</v>
      </c>
    </row>
    <row r="123" spans="1:11" s="1" customFormat="1" ht="25.5" customHeight="1" x14ac:dyDescent="0.2">
      <c r="A123" s="8"/>
      <c r="B123" s="149" t="s">
        <v>250</v>
      </c>
      <c r="C123" s="150"/>
      <c r="D123" s="150"/>
      <c r="E123" s="150"/>
      <c r="F123" s="150"/>
      <c r="G123" s="151"/>
      <c r="H123" s="8"/>
      <c r="I123" s="18">
        <f>SUM(I119:I122)</f>
        <v>27892.186300000001</v>
      </c>
      <c r="J123" s="18">
        <f>SUM(J119:J122)</f>
        <v>35587.912499999999</v>
      </c>
    </row>
    <row r="124" spans="1:11" s="1" customFormat="1" ht="25.5" customHeight="1" x14ac:dyDescent="0.2">
      <c r="A124" s="8"/>
      <c r="B124" s="149" t="s">
        <v>251</v>
      </c>
      <c r="C124" s="150"/>
      <c r="D124" s="150"/>
      <c r="E124" s="150"/>
      <c r="F124" s="150"/>
      <c r="G124" s="151"/>
      <c r="H124" s="8"/>
      <c r="I124" s="14">
        <f>SUM(I116,I123)-3.31</f>
        <v>79050.6783</v>
      </c>
      <c r="J124" s="15">
        <f>SUM(J116,J123)+1.54</f>
        <v>100860.77259999998</v>
      </c>
      <c r="K124" s="49"/>
    </row>
    <row r="125" spans="1:11" s="1" customFormat="1" ht="25.5" customHeight="1" x14ac:dyDescent="0.2">
      <c r="A125" s="8"/>
      <c r="B125" s="9" t="s">
        <v>252</v>
      </c>
      <c r="C125" s="137" t="s">
        <v>253</v>
      </c>
      <c r="D125" s="152"/>
      <c r="E125" s="152"/>
      <c r="F125" s="152"/>
      <c r="G125" s="152"/>
      <c r="H125" s="152"/>
      <c r="I125" s="138"/>
      <c r="J125" s="8"/>
    </row>
    <row r="126" spans="1:11" s="1" customFormat="1" ht="25.5" customHeight="1" x14ac:dyDescent="0.2">
      <c r="A126" s="19">
        <v>98572</v>
      </c>
      <c r="B126" s="11" t="s">
        <v>254</v>
      </c>
      <c r="C126" s="139" t="s">
        <v>255</v>
      </c>
      <c r="D126" s="140"/>
      <c r="E126" s="11" t="s">
        <v>14</v>
      </c>
      <c r="F126" s="13">
        <v>1707</v>
      </c>
      <c r="G126" s="12">
        <v>29.86</v>
      </c>
      <c r="H126" s="12">
        <v>38.1</v>
      </c>
      <c r="I126" s="13">
        <f t="shared" ref="I126:I132" si="8">F126*G126</f>
        <v>50971.02</v>
      </c>
      <c r="J126" s="13">
        <f t="shared" ref="J126:J132" si="9">F126*H126</f>
        <v>65036.700000000004</v>
      </c>
    </row>
    <row r="127" spans="1:11" s="1" customFormat="1" ht="25.5" customHeight="1" x14ac:dyDescent="0.2">
      <c r="A127" s="19">
        <v>98560</v>
      </c>
      <c r="B127" s="11" t="s">
        <v>256</v>
      </c>
      <c r="C127" s="139" t="s">
        <v>257</v>
      </c>
      <c r="D127" s="140"/>
      <c r="E127" s="11" t="s">
        <v>14</v>
      </c>
      <c r="F127" s="13">
        <v>1304.0999999999999</v>
      </c>
      <c r="G127" s="12">
        <v>32.090000000000003</v>
      </c>
      <c r="H127" s="12">
        <v>40.94</v>
      </c>
      <c r="I127" s="13">
        <f t="shared" si="8"/>
        <v>41848.569000000003</v>
      </c>
      <c r="J127" s="13">
        <f t="shared" si="9"/>
        <v>53389.853999999992</v>
      </c>
    </row>
    <row r="128" spans="1:11" s="1" customFormat="1" ht="25.5" customHeight="1" x14ac:dyDescent="0.2">
      <c r="A128" s="19">
        <v>92391</v>
      </c>
      <c r="B128" s="11" t="s">
        <v>258</v>
      </c>
      <c r="C128" s="139" t="s">
        <v>259</v>
      </c>
      <c r="D128" s="140"/>
      <c r="E128" s="11" t="s">
        <v>14</v>
      </c>
      <c r="F128" s="12">
        <v>224</v>
      </c>
      <c r="G128" s="12">
        <v>46.88</v>
      </c>
      <c r="H128" s="12">
        <v>59.82</v>
      </c>
      <c r="I128" s="13">
        <f t="shared" si="8"/>
        <v>10501.12</v>
      </c>
      <c r="J128" s="13">
        <f t="shared" si="9"/>
        <v>13399.68</v>
      </c>
    </row>
    <row r="129" spans="1:11" s="1" customFormat="1" ht="25.5" customHeight="1" x14ac:dyDescent="0.2">
      <c r="A129" s="2" t="s">
        <v>260</v>
      </c>
      <c r="B129" s="11" t="s">
        <v>261</v>
      </c>
      <c r="C129" s="139" t="s">
        <v>262</v>
      </c>
      <c r="D129" s="140"/>
      <c r="E129" s="11" t="s">
        <v>14</v>
      </c>
      <c r="F129" s="12">
        <v>36</v>
      </c>
      <c r="G129" s="12">
        <v>31.2</v>
      </c>
      <c r="H129" s="12">
        <v>39.81</v>
      </c>
      <c r="I129" s="13">
        <f t="shared" si="8"/>
        <v>1123.2</v>
      </c>
      <c r="J129" s="13">
        <f t="shared" si="9"/>
        <v>1433.16</v>
      </c>
    </row>
    <row r="130" spans="1:11" s="1" customFormat="1" ht="25.5" customHeight="1" x14ac:dyDescent="0.2">
      <c r="A130" s="19">
        <v>88477</v>
      </c>
      <c r="B130" s="11" t="s">
        <v>263</v>
      </c>
      <c r="C130" s="139" t="s">
        <v>264</v>
      </c>
      <c r="D130" s="140"/>
      <c r="E130" s="11" t="s">
        <v>14</v>
      </c>
      <c r="F130" s="12">
        <v>470</v>
      </c>
      <c r="G130" s="12">
        <v>19.170000000000002</v>
      </c>
      <c r="H130" s="12">
        <v>24.46</v>
      </c>
      <c r="I130" s="13">
        <f t="shared" si="8"/>
        <v>9009.9000000000015</v>
      </c>
      <c r="J130" s="13">
        <f t="shared" si="9"/>
        <v>11496.2</v>
      </c>
    </row>
    <row r="131" spans="1:11" s="1" customFormat="1" ht="25.5" customHeight="1" x14ac:dyDescent="0.2">
      <c r="A131" s="19">
        <v>84191</v>
      </c>
      <c r="B131" s="11" t="s">
        <v>265</v>
      </c>
      <c r="C131" s="139" t="s">
        <v>266</v>
      </c>
      <c r="D131" s="140"/>
      <c r="E131" s="11" t="s">
        <v>14</v>
      </c>
      <c r="F131" s="12">
        <v>885</v>
      </c>
      <c r="G131" s="12">
        <v>98.11</v>
      </c>
      <c r="H131" s="12">
        <v>125.18</v>
      </c>
      <c r="I131" s="13">
        <f t="shared" si="8"/>
        <v>86827.35</v>
      </c>
      <c r="J131" s="13">
        <f t="shared" si="9"/>
        <v>110784.3</v>
      </c>
    </row>
    <row r="132" spans="1:11" s="1" customFormat="1" ht="25.5" customHeight="1" x14ac:dyDescent="0.2">
      <c r="A132" s="2" t="s">
        <v>267</v>
      </c>
      <c r="B132" s="11" t="s">
        <v>268</v>
      </c>
      <c r="C132" s="139" t="s">
        <v>269</v>
      </c>
      <c r="D132" s="140"/>
      <c r="E132" s="11" t="s">
        <v>81</v>
      </c>
      <c r="F132" s="12">
        <v>77</v>
      </c>
      <c r="G132" s="12">
        <v>174.65</v>
      </c>
      <c r="H132" s="12">
        <v>222.84</v>
      </c>
      <c r="I132" s="13">
        <f t="shared" si="8"/>
        <v>13448.050000000001</v>
      </c>
      <c r="J132" s="13">
        <f t="shared" si="9"/>
        <v>17158.68</v>
      </c>
    </row>
    <row r="133" spans="1:11" s="1" customFormat="1" ht="25.5" customHeight="1" x14ac:dyDescent="0.2">
      <c r="A133" s="8"/>
      <c r="B133" s="149" t="s">
        <v>270</v>
      </c>
      <c r="C133" s="150"/>
      <c r="D133" s="150"/>
      <c r="E133" s="150"/>
      <c r="F133" s="150"/>
      <c r="G133" s="151"/>
      <c r="H133" s="8"/>
      <c r="I133" s="14">
        <f>SUM(I126:I132)-3.35</f>
        <v>213725.859</v>
      </c>
      <c r="J133" s="15">
        <f>SUM(J126:J132)-5.75</f>
        <v>272692.82400000002</v>
      </c>
      <c r="K133" s="49"/>
    </row>
    <row r="134" spans="1:11" s="1" customFormat="1" ht="25.5" customHeight="1" x14ac:dyDescent="0.2">
      <c r="A134" s="8"/>
      <c r="B134" s="9" t="s">
        <v>271</v>
      </c>
      <c r="C134" s="137" t="s">
        <v>272</v>
      </c>
      <c r="D134" s="152"/>
      <c r="E134" s="152"/>
      <c r="F134" s="152"/>
      <c r="G134" s="152"/>
      <c r="H134" s="152"/>
      <c r="I134" s="138"/>
      <c r="J134" s="8"/>
    </row>
    <row r="135" spans="1:11" s="1" customFormat="1" ht="25.5" customHeight="1" x14ac:dyDescent="0.2">
      <c r="A135" s="2" t="s">
        <v>273</v>
      </c>
      <c r="B135" s="11" t="s">
        <v>274</v>
      </c>
      <c r="C135" s="139" t="s">
        <v>275</v>
      </c>
      <c r="D135" s="140"/>
      <c r="E135" s="11" t="s">
        <v>81</v>
      </c>
      <c r="F135" s="12">
        <v>32.799999999999997</v>
      </c>
      <c r="G135" s="12">
        <v>33.909999999999997</v>
      </c>
      <c r="H135" s="12">
        <v>43.27</v>
      </c>
      <c r="I135" s="13">
        <f>F135*G135</f>
        <v>1112.2479999999998</v>
      </c>
      <c r="J135" s="13">
        <f>F135*H135</f>
        <v>1419.2560000000001</v>
      </c>
    </row>
    <row r="136" spans="1:11" s="1" customFormat="1" ht="25.5" customHeight="1" x14ac:dyDescent="0.2">
      <c r="A136" s="19">
        <v>96467</v>
      </c>
      <c r="B136" s="11" t="s">
        <v>276</v>
      </c>
      <c r="C136" s="139" t="s">
        <v>277</v>
      </c>
      <c r="D136" s="140"/>
      <c r="E136" s="11" t="s">
        <v>81</v>
      </c>
      <c r="F136" s="12">
        <v>648</v>
      </c>
      <c r="G136" s="12">
        <v>4.1100000000000003</v>
      </c>
      <c r="H136" s="12">
        <v>5.25</v>
      </c>
      <c r="I136" s="13">
        <f>F136*G136</f>
        <v>2663.28</v>
      </c>
      <c r="J136" s="13">
        <f>F136*H136</f>
        <v>3402</v>
      </c>
    </row>
    <row r="137" spans="1:11" s="1" customFormat="1" ht="25.5" customHeight="1" x14ac:dyDescent="0.2">
      <c r="A137" s="2" t="s">
        <v>78</v>
      </c>
      <c r="B137" s="11" t="s">
        <v>278</v>
      </c>
      <c r="C137" s="139" t="s">
        <v>279</v>
      </c>
      <c r="D137" s="140"/>
      <c r="E137" s="11" t="s">
        <v>81</v>
      </c>
      <c r="F137" s="12">
        <v>100</v>
      </c>
      <c r="G137" s="12">
        <v>9.81</v>
      </c>
      <c r="H137" s="12">
        <v>12.52</v>
      </c>
      <c r="I137" s="13">
        <f>F137*G137</f>
        <v>981</v>
      </c>
      <c r="J137" s="13">
        <f>F137*H137</f>
        <v>1252</v>
      </c>
    </row>
    <row r="138" spans="1:11" s="1" customFormat="1" ht="25.5" customHeight="1" x14ac:dyDescent="0.2">
      <c r="A138" s="2" t="s">
        <v>280</v>
      </c>
      <c r="B138" s="11" t="s">
        <v>281</v>
      </c>
      <c r="C138" s="139" t="s">
        <v>282</v>
      </c>
      <c r="D138" s="140"/>
      <c r="E138" s="11" t="s">
        <v>81</v>
      </c>
      <c r="F138" s="12">
        <v>548</v>
      </c>
      <c r="G138" s="12">
        <v>12.72</v>
      </c>
      <c r="H138" s="12">
        <v>16.23</v>
      </c>
      <c r="I138" s="13">
        <f>F138*G138</f>
        <v>6970.56</v>
      </c>
      <c r="J138" s="13">
        <f>F138*H138</f>
        <v>8894.0400000000009</v>
      </c>
    </row>
    <row r="139" spans="1:11" s="1" customFormat="1" ht="25.5" customHeight="1" x14ac:dyDescent="0.2">
      <c r="A139" s="8"/>
      <c r="B139" s="149" t="s">
        <v>283</v>
      </c>
      <c r="C139" s="150"/>
      <c r="D139" s="150"/>
      <c r="E139" s="150"/>
      <c r="F139" s="150"/>
      <c r="G139" s="151"/>
      <c r="H139" s="8"/>
      <c r="I139" s="14">
        <f>SUM(I135:I138)+0.36</f>
        <v>11727.448</v>
      </c>
      <c r="J139" s="15">
        <f>SUM(J135:J138)-274.24</f>
        <v>14693.056000000002</v>
      </c>
      <c r="K139" s="49"/>
    </row>
    <row r="140" spans="1:11" s="1" customFormat="1" ht="25.5" customHeight="1" x14ac:dyDescent="0.2">
      <c r="A140" s="8"/>
      <c r="B140" s="9" t="s">
        <v>284</v>
      </c>
      <c r="C140" s="137" t="s">
        <v>285</v>
      </c>
      <c r="D140" s="152"/>
      <c r="E140" s="152"/>
      <c r="F140" s="152"/>
      <c r="G140" s="152"/>
      <c r="H140" s="152"/>
      <c r="I140" s="138"/>
      <c r="J140" s="8"/>
    </row>
    <row r="141" spans="1:11" s="1" customFormat="1" ht="25.5" customHeight="1" x14ac:dyDescent="0.2">
      <c r="A141" s="8"/>
      <c r="B141" s="20">
        <v>12.1</v>
      </c>
      <c r="C141" s="137" t="s">
        <v>286</v>
      </c>
      <c r="D141" s="138"/>
      <c r="E141" s="8"/>
      <c r="F141" s="8"/>
      <c r="G141" s="8"/>
      <c r="H141" s="8"/>
      <c r="I141" s="8"/>
      <c r="J141" s="8"/>
    </row>
    <row r="142" spans="1:11" s="1" customFormat="1" ht="25.5" customHeight="1" x14ac:dyDescent="0.2">
      <c r="A142" s="19">
        <v>88489</v>
      </c>
      <c r="B142" s="21">
        <v>40909</v>
      </c>
      <c r="C142" s="139" t="s">
        <v>287</v>
      </c>
      <c r="D142" s="140"/>
      <c r="E142" s="11" t="s">
        <v>14</v>
      </c>
      <c r="F142" s="12">
        <v>638.78</v>
      </c>
      <c r="G142" s="12">
        <v>8.41</v>
      </c>
      <c r="H142" s="12">
        <v>10.73</v>
      </c>
      <c r="I142" s="13">
        <f>F142*G142</f>
        <v>5372.1397999999999</v>
      </c>
      <c r="J142" s="13">
        <f>F142*H142</f>
        <v>6854.1094000000003</v>
      </c>
    </row>
    <row r="143" spans="1:11" s="1" customFormat="1" ht="25.5" customHeight="1" x14ac:dyDescent="0.2">
      <c r="A143" s="19">
        <v>88497</v>
      </c>
      <c r="B143" s="21">
        <v>40910</v>
      </c>
      <c r="C143" s="139" t="s">
        <v>288</v>
      </c>
      <c r="D143" s="140"/>
      <c r="E143" s="11" t="s">
        <v>14</v>
      </c>
      <c r="F143" s="12">
        <v>638.78</v>
      </c>
      <c r="G143" s="12">
        <v>9.49</v>
      </c>
      <c r="H143" s="12">
        <v>12.1</v>
      </c>
      <c r="I143" s="13">
        <f>F143*G143</f>
        <v>6062.0221999999994</v>
      </c>
      <c r="J143" s="13">
        <f>F143*H143</f>
        <v>7729.2379999999994</v>
      </c>
    </row>
    <row r="144" spans="1:11" s="1" customFormat="1" ht="25.5" customHeight="1" x14ac:dyDescent="0.2">
      <c r="A144" s="19">
        <v>88487</v>
      </c>
      <c r="B144" s="21">
        <v>40911</v>
      </c>
      <c r="C144" s="139" t="s">
        <v>289</v>
      </c>
      <c r="D144" s="140"/>
      <c r="E144" s="11" t="s">
        <v>14</v>
      </c>
      <c r="F144" s="12">
        <v>77.3</v>
      </c>
      <c r="G144" s="12">
        <v>6.56</v>
      </c>
      <c r="H144" s="12">
        <v>8.3699999999999992</v>
      </c>
      <c r="I144" s="13">
        <f>F144*G144</f>
        <v>507.08799999999997</v>
      </c>
      <c r="J144" s="13">
        <f>F144*H144</f>
        <v>647.00099999999986</v>
      </c>
    </row>
    <row r="145" spans="1:11" s="1" customFormat="1" ht="25.5" customHeight="1" x14ac:dyDescent="0.2">
      <c r="A145" s="8"/>
      <c r="B145" s="9" t="s">
        <v>290</v>
      </c>
      <c r="C145" s="137" t="s">
        <v>291</v>
      </c>
      <c r="D145" s="152"/>
      <c r="E145" s="152"/>
      <c r="F145" s="152"/>
      <c r="G145" s="138"/>
      <c r="H145" s="8"/>
      <c r="I145" s="8"/>
      <c r="J145" s="8"/>
    </row>
    <row r="146" spans="1:11" s="1" customFormat="1" ht="25.5" customHeight="1" x14ac:dyDescent="0.2">
      <c r="A146" s="19">
        <v>88489</v>
      </c>
      <c r="B146" s="21">
        <v>40940</v>
      </c>
      <c r="C146" s="139" t="s">
        <v>287</v>
      </c>
      <c r="D146" s="140"/>
      <c r="E146" s="11" t="s">
        <v>14</v>
      </c>
      <c r="F146" s="12">
        <v>606.17999999999995</v>
      </c>
      <c r="G146" s="12">
        <v>8.41</v>
      </c>
      <c r="H146" s="12">
        <v>10.73</v>
      </c>
      <c r="I146" s="13">
        <f>F146*G146</f>
        <v>5097.9737999999998</v>
      </c>
      <c r="J146" s="13">
        <f>F146*H146</f>
        <v>6504.3113999999996</v>
      </c>
    </row>
    <row r="147" spans="1:11" s="1" customFormat="1" ht="25.5" customHeight="1" x14ac:dyDescent="0.2">
      <c r="A147" s="8"/>
      <c r="B147" s="9" t="s">
        <v>292</v>
      </c>
      <c r="C147" s="137" t="s">
        <v>235</v>
      </c>
      <c r="D147" s="152"/>
      <c r="E147" s="152"/>
      <c r="F147" s="152"/>
      <c r="G147" s="138"/>
      <c r="H147" s="8"/>
      <c r="I147" s="8"/>
      <c r="J147" s="8"/>
    </row>
    <row r="148" spans="1:11" s="1" customFormat="1" ht="25.5" customHeight="1" x14ac:dyDescent="0.2">
      <c r="A148" s="19">
        <v>88487</v>
      </c>
      <c r="B148" s="11" t="s">
        <v>293</v>
      </c>
      <c r="C148" s="139" t="s">
        <v>289</v>
      </c>
      <c r="D148" s="140"/>
      <c r="E148" s="11" t="s">
        <v>14</v>
      </c>
      <c r="F148" s="12">
        <v>732.68</v>
      </c>
      <c r="G148" s="12">
        <v>6.56</v>
      </c>
      <c r="H148" s="12">
        <v>8.3699999999999992</v>
      </c>
      <c r="I148" s="13">
        <f>F148*G148</f>
        <v>4806.380799999999</v>
      </c>
      <c r="J148" s="13">
        <f>F148*H148</f>
        <v>6132.5315999999993</v>
      </c>
    </row>
    <row r="149" spans="1:11" s="1" customFormat="1" ht="25.5" customHeight="1" x14ac:dyDescent="0.2">
      <c r="A149" s="19">
        <v>88497</v>
      </c>
      <c r="B149" s="11" t="s">
        <v>294</v>
      </c>
      <c r="C149" s="139" t="s">
        <v>288</v>
      </c>
      <c r="D149" s="140"/>
      <c r="E149" s="11" t="s">
        <v>14</v>
      </c>
      <c r="F149" s="12">
        <v>732.68</v>
      </c>
      <c r="G149" s="12">
        <v>9.49</v>
      </c>
      <c r="H149" s="12">
        <v>12.1</v>
      </c>
      <c r="I149" s="13">
        <f>F149*G149</f>
        <v>6953.1331999999993</v>
      </c>
      <c r="J149" s="13">
        <f>F149*H149</f>
        <v>8865.4279999999999</v>
      </c>
    </row>
    <row r="150" spans="1:11" s="1" customFormat="1" ht="25.5" customHeight="1" x14ac:dyDescent="0.2">
      <c r="A150" s="8"/>
      <c r="B150" s="9" t="s">
        <v>295</v>
      </c>
      <c r="C150" s="137" t="s">
        <v>296</v>
      </c>
      <c r="D150" s="152"/>
      <c r="E150" s="152"/>
      <c r="F150" s="152"/>
      <c r="G150" s="138"/>
      <c r="H150" s="8"/>
      <c r="I150" s="8"/>
      <c r="J150" s="8"/>
    </row>
    <row r="151" spans="1:11" s="1" customFormat="1" ht="25.5" customHeight="1" x14ac:dyDescent="0.2">
      <c r="A151" s="2" t="s">
        <v>297</v>
      </c>
      <c r="B151" s="21">
        <v>41000</v>
      </c>
      <c r="C151" s="139" t="s">
        <v>298</v>
      </c>
      <c r="D151" s="140"/>
      <c r="E151" s="11" t="s">
        <v>14</v>
      </c>
      <c r="F151" s="12">
        <v>257.60000000000002</v>
      </c>
      <c r="G151" s="12">
        <v>13.87</v>
      </c>
      <c r="H151" s="12">
        <v>17.7</v>
      </c>
      <c r="I151" s="13">
        <f>F151*G151</f>
        <v>3572.9120000000003</v>
      </c>
      <c r="J151" s="13">
        <f>F151*H151</f>
        <v>4559.5200000000004</v>
      </c>
    </row>
    <row r="152" spans="1:11" s="1" customFormat="1" ht="25.5" customHeight="1" x14ac:dyDescent="0.2">
      <c r="A152" s="19">
        <v>40905</v>
      </c>
      <c r="B152" s="21">
        <v>41001</v>
      </c>
      <c r="C152" s="139" t="s">
        <v>299</v>
      </c>
      <c r="D152" s="140"/>
      <c r="E152" s="11" t="s">
        <v>14</v>
      </c>
      <c r="F152" s="12">
        <v>54.8</v>
      </c>
      <c r="G152" s="12">
        <v>16.510000000000002</v>
      </c>
      <c r="H152" s="12">
        <v>21.06</v>
      </c>
      <c r="I152" s="13">
        <f>F152*G152</f>
        <v>904.74800000000005</v>
      </c>
      <c r="J152" s="13">
        <f>F152*H152</f>
        <v>1154.088</v>
      </c>
    </row>
    <row r="153" spans="1:11" s="1" customFormat="1" ht="25.5" customHeight="1" x14ac:dyDescent="0.2">
      <c r="A153" s="2" t="s">
        <v>300</v>
      </c>
      <c r="B153" s="21">
        <v>41002</v>
      </c>
      <c r="C153" s="139" t="s">
        <v>301</v>
      </c>
      <c r="D153" s="140"/>
      <c r="E153" s="11" t="s">
        <v>14</v>
      </c>
      <c r="F153" s="12">
        <v>170.5</v>
      </c>
      <c r="G153" s="12">
        <v>20.6</v>
      </c>
      <c r="H153" s="12">
        <v>26.28</v>
      </c>
      <c r="I153" s="13">
        <f>F153*G153</f>
        <v>3512.3</v>
      </c>
      <c r="J153" s="13">
        <f>F153*H153</f>
        <v>4480.74</v>
      </c>
    </row>
    <row r="154" spans="1:11" s="1" customFormat="1" ht="25.5" customHeight="1" x14ac:dyDescent="0.2">
      <c r="A154" s="8"/>
      <c r="B154" s="149" t="s">
        <v>302</v>
      </c>
      <c r="C154" s="150"/>
      <c r="D154" s="150"/>
      <c r="E154" s="150"/>
      <c r="F154" s="150"/>
      <c r="G154" s="151"/>
      <c r="H154" s="8"/>
      <c r="I154" s="14">
        <f>SUM(I142:I153)</f>
        <v>36788.697800000002</v>
      </c>
      <c r="J154" s="15">
        <f>SUM(J142:J153)-1.02</f>
        <v>46925.947400000005</v>
      </c>
      <c r="K154" s="49"/>
    </row>
    <row r="155" spans="1:11" s="1" customFormat="1" ht="25.5" customHeight="1" x14ac:dyDescent="0.2">
      <c r="A155" s="8"/>
      <c r="B155" s="9" t="s">
        <v>303</v>
      </c>
      <c r="C155" s="137" t="s">
        <v>304</v>
      </c>
      <c r="D155" s="152"/>
      <c r="E155" s="152"/>
      <c r="F155" s="152"/>
      <c r="G155" s="152"/>
      <c r="H155" s="152"/>
      <c r="I155" s="138"/>
      <c r="J155" s="8"/>
    </row>
    <row r="156" spans="1:11" s="1" customFormat="1" ht="25.5" customHeight="1" x14ac:dyDescent="0.2">
      <c r="A156" s="2" t="s">
        <v>305</v>
      </c>
      <c r="B156" s="11" t="s">
        <v>306</v>
      </c>
      <c r="C156" s="139" t="s">
        <v>307</v>
      </c>
      <c r="D156" s="140"/>
      <c r="E156" s="11" t="s">
        <v>14</v>
      </c>
      <c r="F156" s="12">
        <v>43.5</v>
      </c>
      <c r="G156" s="12">
        <v>224.11</v>
      </c>
      <c r="H156" s="12">
        <v>285.94</v>
      </c>
      <c r="I156" s="13">
        <f t="shared" ref="I156:I176" si="10">F156*G156</f>
        <v>9748.7849999999999</v>
      </c>
      <c r="J156" s="13">
        <f t="shared" ref="J156:J176" si="11">F156*H156</f>
        <v>12438.39</v>
      </c>
    </row>
    <row r="157" spans="1:11" s="1" customFormat="1" ht="25.5" customHeight="1" x14ac:dyDescent="0.2">
      <c r="A157" s="22" t="s">
        <v>308</v>
      </c>
      <c r="B157" s="11" t="s">
        <v>309</v>
      </c>
      <c r="C157" s="139" t="s">
        <v>310</v>
      </c>
      <c r="D157" s="140"/>
      <c r="E157" s="11" t="s">
        <v>14</v>
      </c>
      <c r="F157" s="12">
        <v>10.5</v>
      </c>
      <c r="G157" s="12">
        <v>312.5</v>
      </c>
      <c r="H157" s="12">
        <v>398.72</v>
      </c>
      <c r="I157" s="13">
        <f t="shared" si="10"/>
        <v>3281.25</v>
      </c>
      <c r="J157" s="13">
        <f t="shared" si="11"/>
        <v>4186.5600000000004</v>
      </c>
    </row>
    <row r="158" spans="1:11" s="1" customFormat="1" ht="25.5" customHeight="1" x14ac:dyDescent="0.2">
      <c r="A158" s="2" t="s">
        <v>78</v>
      </c>
      <c r="B158" s="11" t="s">
        <v>311</v>
      </c>
      <c r="C158" s="139" t="s">
        <v>312</v>
      </c>
      <c r="D158" s="140"/>
      <c r="E158" s="11" t="s">
        <v>14</v>
      </c>
      <c r="F158" s="12">
        <v>53</v>
      </c>
      <c r="G158" s="12">
        <v>323.14</v>
      </c>
      <c r="H158" s="12">
        <v>412.29</v>
      </c>
      <c r="I158" s="13">
        <f t="shared" si="10"/>
        <v>17126.419999999998</v>
      </c>
      <c r="J158" s="13">
        <f t="shared" si="11"/>
        <v>21851.370000000003</v>
      </c>
    </row>
    <row r="159" spans="1:11" s="1" customFormat="1" ht="25.5" customHeight="1" x14ac:dyDescent="0.2">
      <c r="A159" s="2" t="s">
        <v>305</v>
      </c>
      <c r="B159" s="11" t="s">
        <v>313</v>
      </c>
      <c r="C159" s="139" t="s">
        <v>314</v>
      </c>
      <c r="D159" s="140"/>
      <c r="E159" s="11" t="s">
        <v>14</v>
      </c>
      <c r="F159" s="12">
        <v>35.700000000000003</v>
      </c>
      <c r="G159" s="12">
        <v>224.11</v>
      </c>
      <c r="H159" s="12">
        <v>285.94</v>
      </c>
      <c r="I159" s="13">
        <f t="shared" si="10"/>
        <v>8000.7270000000008</v>
      </c>
      <c r="J159" s="13">
        <f t="shared" si="11"/>
        <v>10208.058000000001</v>
      </c>
    </row>
    <row r="160" spans="1:11" s="1" customFormat="1" ht="25.5" customHeight="1" x14ac:dyDescent="0.2">
      <c r="A160" s="19">
        <v>20231</v>
      </c>
      <c r="B160" s="11" t="s">
        <v>315</v>
      </c>
      <c r="C160" s="139" t="s">
        <v>316</v>
      </c>
      <c r="D160" s="140"/>
      <c r="E160" s="11" t="s">
        <v>81</v>
      </c>
      <c r="F160" s="12">
        <v>65.8</v>
      </c>
      <c r="G160" s="12">
        <v>33.93</v>
      </c>
      <c r="H160" s="12">
        <v>43.29</v>
      </c>
      <c r="I160" s="13">
        <f t="shared" si="10"/>
        <v>2232.5940000000001</v>
      </c>
      <c r="J160" s="13">
        <f t="shared" si="11"/>
        <v>2848.482</v>
      </c>
    </row>
    <row r="161" spans="1:10" s="1" customFormat="1" ht="25.5" customHeight="1" x14ac:dyDescent="0.2">
      <c r="A161" s="19">
        <v>20231</v>
      </c>
      <c r="B161" s="11" t="s">
        <v>317</v>
      </c>
      <c r="C161" s="139" t="s">
        <v>318</v>
      </c>
      <c r="D161" s="140"/>
      <c r="E161" s="11" t="s">
        <v>81</v>
      </c>
      <c r="F161" s="12">
        <v>99.5</v>
      </c>
      <c r="G161" s="12">
        <v>33.93</v>
      </c>
      <c r="H161" s="12">
        <v>43.29</v>
      </c>
      <c r="I161" s="13">
        <f t="shared" si="10"/>
        <v>3376.0349999999999</v>
      </c>
      <c r="J161" s="13">
        <f t="shared" si="11"/>
        <v>4307.3549999999996</v>
      </c>
    </row>
    <row r="162" spans="1:10" s="1" customFormat="1" ht="25.5" customHeight="1" x14ac:dyDescent="0.2">
      <c r="A162" s="19">
        <v>20231</v>
      </c>
      <c r="B162" s="11" t="s">
        <v>319</v>
      </c>
      <c r="C162" s="139" t="s">
        <v>320</v>
      </c>
      <c r="D162" s="140"/>
      <c r="E162" s="11" t="s">
        <v>81</v>
      </c>
      <c r="F162" s="12">
        <v>130.80000000000001</v>
      </c>
      <c r="G162" s="12">
        <v>33.93</v>
      </c>
      <c r="H162" s="12">
        <v>43.29</v>
      </c>
      <c r="I162" s="13">
        <f t="shared" si="10"/>
        <v>4438.0440000000008</v>
      </c>
      <c r="J162" s="13">
        <f t="shared" si="11"/>
        <v>5662.3320000000003</v>
      </c>
    </row>
    <row r="163" spans="1:10" s="1" customFormat="1" ht="25.5" customHeight="1" x14ac:dyDescent="0.2">
      <c r="A163" s="19">
        <v>20231</v>
      </c>
      <c r="B163" s="11" t="s">
        <v>321</v>
      </c>
      <c r="C163" s="139" t="s">
        <v>322</v>
      </c>
      <c r="D163" s="140"/>
      <c r="E163" s="11" t="s">
        <v>81</v>
      </c>
      <c r="F163" s="12">
        <v>90.4</v>
      </c>
      <c r="G163" s="12">
        <v>33.93</v>
      </c>
      <c r="H163" s="12">
        <v>43.29</v>
      </c>
      <c r="I163" s="13">
        <f t="shared" si="10"/>
        <v>3067.2720000000004</v>
      </c>
      <c r="J163" s="13">
        <f t="shared" si="11"/>
        <v>3913.4160000000002</v>
      </c>
    </row>
    <row r="164" spans="1:10" s="1" customFormat="1" ht="25.5" customHeight="1" x14ac:dyDescent="0.2">
      <c r="A164" s="10">
        <v>20231</v>
      </c>
      <c r="B164" s="11" t="s">
        <v>323</v>
      </c>
      <c r="C164" s="139" t="s">
        <v>324</v>
      </c>
      <c r="D164" s="140"/>
      <c r="E164" s="11" t="s">
        <v>81</v>
      </c>
      <c r="F164" s="12">
        <v>19.2</v>
      </c>
      <c r="G164" s="12">
        <v>33.93</v>
      </c>
      <c r="H164" s="12">
        <v>43.29</v>
      </c>
      <c r="I164" s="13">
        <f t="shared" si="10"/>
        <v>651.45600000000002</v>
      </c>
      <c r="J164" s="13">
        <f t="shared" si="11"/>
        <v>831.16800000000001</v>
      </c>
    </row>
    <row r="165" spans="1:10" s="1" customFormat="1" ht="25.5" customHeight="1" x14ac:dyDescent="0.2">
      <c r="A165" s="11" t="s">
        <v>308</v>
      </c>
      <c r="B165" s="11" t="s">
        <v>325</v>
      </c>
      <c r="C165" s="139" t="s">
        <v>326</v>
      </c>
      <c r="D165" s="140"/>
      <c r="E165" s="11" t="s">
        <v>102</v>
      </c>
      <c r="F165" s="12">
        <v>2</v>
      </c>
      <c r="G165" s="12">
        <v>58.84</v>
      </c>
      <c r="H165" s="12">
        <v>75.069999999999993</v>
      </c>
      <c r="I165" s="13">
        <f t="shared" si="10"/>
        <v>117.68</v>
      </c>
      <c r="J165" s="13">
        <f t="shared" si="11"/>
        <v>150.13999999999999</v>
      </c>
    </row>
    <row r="166" spans="1:10" s="1" customFormat="1" ht="25.5" customHeight="1" x14ac:dyDescent="0.2">
      <c r="A166" s="10">
        <v>84862</v>
      </c>
      <c r="B166" s="11" t="s">
        <v>327</v>
      </c>
      <c r="C166" s="139" t="s">
        <v>328</v>
      </c>
      <c r="D166" s="140"/>
      <c r="E166" s="11" t="s">
        <v>81</v>
      </c>
      <c r="F166" s="12">
        <v>10.9</v>
      </c>
      <c r="G166" s="12">
        <v>190.09</v>
      </c>
      <c r="H166" s="12">
        <v>242.53</v>
      </c>
      <c r="I166" s="13">
        <f t="shared" si="10"/>
        <v>2071.9810000000002</v>
      </c>
      <c r="J166" s="13">
        <f t="shared" si="11"/>
        <v>2643.5770000000002</v>
      </c>
    </row>
    <row r="167" spans="1:10" s="1" customFormat="1" ht="25.5" customHeight="1" x14ac:dyDescent="0.2">
      <c r="A167" s="11" t="s">
        <v>329</v>
      </c>
      <c r="B167" s="11" t="s">
        <v>330</v>
      </c>
      <c r="C167" s="139" t="s">
        <v>331</v>
      </c>
      <c r="D167" s="140"/>
      <c r="E167" s="11" t="s">
        <v>81</v>
      </c>
      <c r="F167" s="12">
        <v>11.79</v>
      </c>
      <c r="G167" s="12">
        <v>222.14</v>
      </c>
      <c r="H167" s="12">
        <v>283.43</v>
      </c>
      <c r="I167" s="13">
        <f t="shared" si="10"/>
        <v>2619.0305999999996</v>
      </c>
      <c r="J167" s="13">
        <f t="shared" si="11"/>
        <v>3341.6396999999997</v>
      </c>
    </row>
    <row r="168" spans="1:10" s="1" customFormat="1" ht="25.5" customHeight="1" x14ac:dyDescent="0.2">
      <c r="A168" s="11" t="s">
        <v>78</v>
      </c>
      <c r="B168" s="11" t="s">
        <v>332</v>
      </c>
      <c r="C168" s="139" t="s">
        <v>333</v>
      </c>
      <c r="D168" s="140"/>
      <c r="E168" s="11" t="s">
        <v>102</v>
      </c>
      <c r="F168" s="12">
        <v>1</v>
      </c>
      <c r="G168" s="12">
        <v>474.97</v>
      </c>
      <c r="H168" s="12">
        <v>606.01</v>
      </c>
      <c r="I168" s="13">
        <f t="shared" si="10"/>
        <v>474.97</v>
      </c>
      <c r="J168" s="13">
        <f t="shared" si="11"/>
        <v>606.01</v>
      </c>
    </row>
    <row r="169" spans="1:10" s="1" customFormat="1" ht="25.5" customHeight="1" x14ac:dyDescent="0.2">
      <c r="A169" s="11" t="s">
        <v>308</v>
      </c>
      <c r="B169" s="11" t="s">
        <v>334</v>
      </c>
      <c r="C169" s="139" t="s">
        <v>335</v>
      </c>
      <c r="D169" s="140"/>
      <c r="E169" s="11" t="s">
        <v>336</v>
      </c>
      <c r="F169" s="12">
        <v>2</v>
      </c>
      <c r="G169" s="12">
        <v>891.52</v>
      </c>
      <c r="H169" s="13">
        <v>1137.49</v>
      </c>
      <c r="I169" s="13">
        <f t="shared" si="10"/>
        <v>1783.04</v>
      </c>
      <c r="J169" s="13">
        <f t="shared" si="11"/>
        <v>2274.98</v>
      </c>
    </row>
    <row r="170" spans="1:10" s="1" customFormat="1" ht="25.5" customHeight="1" x14ac:dyDescent="0.2">
      <c r="A170" s="11" t="s">
        <v>308</v>
      </c>
      <c r="B170" s="11" t="s">
        <v>337</v>
      </c>
      <c r="C170" s="139" t="s">
        <v>338</v>
      </c>
      <c r="D170" s="140"/>
      <c r="E170" s="11" t="s">
        <v>102</v>
      </c>
      <c r="F170" s="12">
        <v>8</v>
      </c>
      <c r="G170" s="12">
        <v>179</v>
      </c>
      <c r="H170" s="12">
        <v>228.39</v>
      </c>
      <c r="I170" s="13">
        <f t="shared" si="10"/>
        <v>1432</v>
      </c>
      <c r="J170" s="13">
        <f t="shared" si="11"/>
        <v>1827.12</v>
      </c>
    </row>
    <row r="171" spans="1:10" s="1" customFormat="1" ht="25.5" customHeight="1" x14ac:dyDescent="0.2">
      <c r="A171" s="11" t="s">
        <v>308</v>
      </c>
      <c r="B171" s="11" t="s">
        <v>339</v>
      </c>
      <c r="C171" s="139" t="s">
        <v>340</v>
      </c>
      <c r="D171" s="140"/>
      <c r="E171" s="11" t="s">
        <v>336</v>
      </c>
      <c r="F171" s="12">
        <v>2</v>
      </c>
      <c r="G171" s="12">
        <v>144</v>
      </c>
      <c r="H171" s="12">
        <v>183.73</v>
      </c>
      <c r="I171" s="13">
        <f t="shared" si="10"/>
        <v>288</v>
      </c>
      <c r="J171" s="13">
        <f t="shared" si="11"/>
        <v>367.46</v>
      </c>
    </row>
    <row r="172" spans="1:10" s="1" customFormat="1" ht="25.5" customHeight="1" x14ac:dyDescent="0.2">
      <c r="A172" s="11" t="s">
        <v>78</v>
      </c>
      <c r="B172" s="11" t="s">
        <v>341</v>
      </c>
      <c r="C172" s="139" t="s">
        <v>342</v>
      </c>
      <c r="D172" s="140"/>
      <c r="E172" s="11" t="s">
        <v>81</v>
      </c>
      <c r="F172" s="12">
        <v>2.85</v>
      </c>
      <c r="G172" s="12">
        <v>201.25</v>
      </c>
      <c r="H172" s="12">
        <v>256.77</v>
      </c>
      <c r="I172" s="13">
        <f t="shared" si="10"/>
        <v>573.5625</v>
      </c>
      <c r="J172" s="13">
        <f t="shared" si="11"/>
        <v>731.79449999999997</v>
      </c>
    </row>
    <row r="173" spans="1:10" s="1" customFormat="1" ht="25.5" customHeight="1" x14ac:dyDescent="0.2">
      <c r="A173" s="11" t="s">
        <v>78</v>
      </c>
      <c r="B173" s="11" t="s">
        <v>343</v>
      </c>
      <c r="C173" s="139" t="s">
        <v>344</v>
      </c>
      <c r="D173" s="140"/>
      <c r="E173" s="11" t="s">
        <v>81</v>
      </c>
      <c r="F173" s="12">
        <v>9.1999999999999993</v>
      </c>
      <c r="G173" s="12">
        <v>356.72</v>
      </c>
      <c r="H173" s="12">
        <v>455.13</v>
      </c>
      <c r="I173" s="13">
        <f t="shared" si="10"/>
        <v>3281.8240000000001</v>
      </c>
      <c r="J173" s="13">
        <f t="shared" si="11"/>
        <v>4187.1959999999999</v>
      </c>
    </row>
    <row r="174" spans="1:10" s="1" customFormat="1" ht="25.5" customHeight="1" x14ac:dyDescent="0.2">
      <c r="A174" s="11" t="s">
        <v>345</v>
      </c>
      <c r="B174" s="11" t="s">
        <v>346</v>
      </c>
      <c r="C174" s="139" t="s">
        <v>347</v>
      </c>
      <c r="D174" s="140"/>
      <c r="E174" s="11" t="s">
        <v>102</v>
      </c>
      <c r="F174" s="12">
        <v>3</v>
      </c>
      <c r="G174" s="13">
        <v>2030.45</v>
      </c>
      <c r="H174" s="13">
        <v>2590.64</v>
      </c>
      <c r="I174" s="13">
        <f t="shared" si="10"/>
        <v>6091.35</v>
      </c>
      <c r="J174" s="13">
        <f t="shared" si="11"/>
        <v>7771.92</v>
      </c>
    </row>
    <row r="175" spans="1:10" s="1" customFormat="1" ht="25.5" customHeight="1" x14ac:dyDescent="0.2">
      <c r="A175" s="11" t="s">
        <v>308</v>
      </c>
      <c r="B175" s="11" t="s">
        <v>348</v>
      </c>
      <c r="C175" s="139" t="s">
        <v>349</v>
      </c>
      <c r="D175" s="140"/>
      <c r="E175" s="11" t="s">
        <v>102</v>
      </c>
      <c r="F175" s="12">
        <v>2</v>
      </c>
      <c r="G175" s="12">
        <v>415</v>
      </c>
      <c r="H175" s="12">
        <v>529.5</v>
      </c>
      <c r="I175" s="13">
        <f t="shared" si="10"/>
        <v>830</v>
      </c>
      <c r="J175" s="13">
        <f t="shared" si="11"/>
        <v>1059</v>
      </c>
    </row>
    <row r="176" spans="1:10" s="1" customFormat="1" ht="25.5" customHeight="1" x14ac:dyDescent="0.2">
      <c r="A176" s="11" t="s">
        <v>308</v>
      </c>
      <c r="B176" s="11" t="s">
        <v>350</v>
      </c>
      <c r="C176" s="139" t="s">
        <v>351</v>
      </c>
      <c r="D176" s="140"/>
      <c r="E176" s="11" t="s">
        <v>102</v>
      </c>
      <c r="F176" s="12">
        <v>1</v>
      </c>
      <c r="G176" s="12">
        <v>63.04</v>
      </c>
      <c r="H176" s="12">
        <v>80.430000000000007</v>
      </c>
      <c r="I176" s="13">
        <f t="shared" si="10"/>
        <v>63.04</v>
      </c>
      <c r="J176" s="13">
        <f t="shared" si="11"/>
        <v>80.430000000000007</v>
      </c>
    </row>
    <row r="177" spans="1:11" s="1" customFormat="1" ht="25.5" customHeight="1" x14ac:dyDescent="0.2">
      <c r="A177" s="8"/>
      <c r="B177" s="149" t="s">
        <v>352</v>
      </c>
      <c r="C177" s="150"/>
      <c r="D177" s="150"/>
      <c r="E177" s="150"/>
      <c r="F177" s="150"/>
      <c r="G177" s="151"/>
      <c r="H177" s="8"/>
      <c r="I177" s="14">
        <f>SUM(I156:I176)-0.39</f>
        <v>71548.671099999992</v>
      </c>
      <c r="J177" s="15">
        <f>SUM(J156:J176)+0.54</f>
        <v>91288.93819999999</v>
      </c>
      <c r="K177" s="49"/>
    </row>
    <row r="178" spans="1:11" s="1" customFormat="1" ht="25.5" customHeight="1" x14ac:dyDescent="0.2">
      <c r="A178" s="8"/>
      <c r="B178" s="9" t="s">
        <v>353</v>
      </c>
      <c r="C178" s="137" t="s">
        <v>354</v>
      </c>
      <c r="D178" s="138"/>
      <c r="E178" s="8"/>
      <c r="F178" s="8"/>
      <c r="G178" s="8"/>
      <c r="H178" s="8"/>
      <c r="I178" s="8"/>
      <c r="J178" s="8"/>
    </row>
    <row r="179" spans="1:11" s="1" customFormat="1" ht="25.5" customHeight="1" x14ac:dyDescent="0.2">
      <c r="A179" s="8"/>
      <c r="B179" s="9" t="s">
        <v>355</v>
      </c>
      <c r="C179" s="137" t="s">
        <v>356</v>
      </c>
      <c r="D179" s="138"/>
      <c r="E179" s="8"/>
      <c r="F179" s="8"/>
      <c r="G179" s="8"/>
      <c r="H179" s="8"/>
      <c r="I179" s="8"/>
      <c r="J179" s="8"/>
    </row>
    <row r="180" spans="1:11" s="1" customFormat="1" ht="25.5" customHeight="1" x14ac:dyDescent="0.2">
      <c r="A180" s="8"/>
      <c r="B180" s="23">
        <v>41640</v>
      </c>
      <c r="C180" s="137" t="s">
        <v>357</v>
      </c>
      <c r="D180" s="138"/>
      <c r="E180" s="8"/>
      <c r="F180" s="8"/>
      <c r="G180" s="8"/>
      <c r="H180" s="8"/>
      <c r="I180" s="8"/>
      <c r="J180" s="8"/>
    </row>
    <row r="181" spans="1:11" s="1" customFormat="1" ht="25.5" customHeight="1" x14ac:dyDescent="0.2">
      <c r="A181" s="11" t="s">
        <v>358</v>
      </c>
      <c r="B181" s="11" t="s">
        <v>359</v>
      </c>
      <c r="C181" s="139" t="s">
        <v>360</v>
      </c>
      <c r="D181" s="140"/>
      <c r="E181" s="11" t="s">
        <v>81</v>
      </c>
      <c r="F181" s="12">
        <v>172</v>
      </c>
      <c r="G181" s="12">
        <v>11.27</v>
      </c>
      <c r="H181" s="12">
        <v>14.38</v>
      </c>
      <c r="I181" s="13">
        <f>F181*G181</f>
        <v>1938.4399999999998</v>
      </c>
      <c r="J181" s="13">
        <f>F181*H181</f>
        <v>2473.36</v>
      </c>
    </row>
    <row r="182" spans="1:11" s="1" customFormat="1" ht="25.5" customHeight="1" x14ac:dyDescent="0.2">
      <c r="A182" s="11" t="s">
        <v>361</v>
      </c>
      <c r="B182" s="11" t="s">
        <v>362</v>
      </c>
      <c r="C182" s="139" t="s">
        <v>363</v>
      </c>
      <c r="D182" s="140"/>
      <c r="E182" s="11" t="s">
        <v>81</v>
      </c>
      <c r="F182" s="12">
        <v>169</v>
      </c>
      <c r="G182" s="12">
        <v>11.89</v>
      </c>
      <c r="H182" s="12">
        <v>15.17</v>
      </c>
      <c r="I182" s="13">
        <f>F182*G182</f>
        <v>2009.41</v>
      </c>
      <c r="J182" s="13">
        <f>F182*H182</f>
        <v>2563.73</v>
      </c>
    </row>
    <row r="183" spans="1:11" s="1" customFormat="1" ht="25.5" customHeight="1" x14ac:dyDescent="0.2">
      <c r="A183" s="11" t="s">
        <v>364</v>
      </c>
      <c r="B183" s="11" t="s">
        <v>365</v>
      </c>
      <c r="C183" s="139" t="s">
        <v>366</v>
      </c>
      <c r="D183" s="140"/>
      <c r="E183" s="11" t="s">
        <v>81</v>
      </c>
      <c r="F183" s="12">
        <v>66</v>
      </c>
      <c r="G183" s="12">
        <v>28.56</v>
      </c>
      <c r="H183" s="12">
        <v>36.44</v>
      </c>
      <c r="I183" s="13">
        <f>F183*G183</f>
        <v>1884.9599999999998</v>
      </c>
      <c r="J183" s="13">
        <f>F183*H183</f>
        <v>2405.04</v>
      </c>
    </row>
    <row r="184" spans="1:11" s="1" customFormat="1" ht="25.5" customHeight="1" x14ac:dyDescent="0.2">
      <c r="A184" s="11" t="s">
        <v>367</v>
      </c>
      <c r="B184" s="11" t="s">
        <v>368</v>
      </c>
      <c r="C184" s="139" t="s">
        <v>369</v>
      </c>
      <c r="D184" s="140"/>
      <c r="E184" s="11" t="s">
        <v>81</v>
      </c>
      <c r="F184" s="12">
        <v>39</v>
      </c>
      <c r="G184" s="12">
        <v>35.53</v>
      </c>
      <c r="H184" s="12">
        <v>45.34</v>
      </c>
      <c r="I184" s="13">
        <f>F184*G184</f>
        <v>1385.67</v>
      </c>
      <c r="J184" s="13">
        <f>F184*H184</f>
        <v>1768.2600000000002</v>
      </c>
    </row>
    <row r="185" spans="1:11" s="1" customFormat="1" ht="25.5" customHeight="1" x14ac:dyDescent="0.2">
      <c r="A185" s="11" t="s">
        <v>370</v>
      </c>
      <c r="B185" s="11" t="s">
        <v>371</v>
      </c>
      <c r="C185" s="139" t="s">
        <v>372</v>
      </c>
      <c r="D185" s="140"/>
      <c r="E185" s="11" t="s">
        <v>81</v>
      </c>
      <c r="F185" s="12">
        <v>87</v>
      </c>
      <c r="G185" s="12">
        <v>47.11</v>
      </c>
      <c r="H185" s="12">
        <v>60.1</v>
      </c>
      <c r="I185" s="13">
        <f>F185*G185</f>
        <v>4098.57</v>
      </c>
      <c r="J185" s="13">
        <f>F185*H185</f>
        <v>5228.7</v>
      </c>
    </row>
    <row r="186" spans="1:11" s="1" customFormat="1" ht="25.5" customHeight="1" x14ac:dyDescent="0.2">
      <c r="A186" s="8"/>
      <c r="B186" s="23">
        <v>41641</v>
      </c>
      <c r="C186" s="137" t="s">
        <v>373</v>
      </c>
      <c r="D186" s="138"/>
      <c r="E186" s="8"/>
      <c r="F186" s="8"/>
      <c r="G186" s="8"/>
      <c r="H186" s="8"/>
      <c r="I186" s="8"/>
      <c r="J186" s="8"/>
    </row>
    <row r="187" spans="1:11" s="1" customFormat="1" ht="25.5" customHeight="1" x14ac:dyDescent="0.2">
      <c r="A187" s="10">
        <v>89383</v>
      </c>
      <c r="B187" s="11" t="s">
        <v>374</v>
      </c>
      <c r="C187" s="139" t="s">
        <v>375</v>
      </c>
      <c r="D187" s="140"/>
      <c r="E187" s="11" t="s">
        <v>102</v>
      </c>
      <c r="F187" s="12">
        <v>125</v>
      </c>
      <c r="G187" s="12">
        <v>5.09</v>
      </c>
      <c r="H187" s="12">
        <v>6.49</v>
      </c>
      <c r="I187" s="13">
        <f t="shared" ref="I187:I194" si="12">F187*G187</f>
        <v>636.25</v>
      </c>
      <c r="J187" s="13">
        <f t="shared" ref="J187:J194" si="13">F187*H187</f>
        <v>811.25</v>
      </c>
    </row>
    <row r="188" spans="1:11" s="1" customFormat="1" ht="25.5" customHeight="1" x14ac:dyDescent="0.2">
      <c r="A188" s="10">
        <v>89391</v>
      </c>
      <c r="B188" s="11" t="s">
        <v>376</v>
      </c>
      <c r="C188" s="139" t="s">
        <v>377</v>
      </c>
      <c r="D188" s="140"/>
      <c r="E188" s="11" t="s">
        <v>102</v>
      </c>
      <c r="F188" s="12">
        <v>30</v>
      </c>
      <c r="G188" s="12">
        <v>6.77</v>
      </c>
      <c r="H188" s="12">
        <v>8.64</v>
      </c>
      <c r="I188" s="13">
        <f t="shared" si="12"/>
        <v>203.1</v>
      </c>
      <c r="J188" s="13">
        <f t="shared" si="13"/>
        <v>259.20000000000005</v>
      </c>
    </row>
    <row r="189" spans="1:11" s="1" customFormat="1" ht="25.5" customHeight="1" x14ac:dyDescent="0.2">
      <c r="A189" s="10">
        <v>89595</v>
      </c>
      <c r="B189" s="11" t="s">
        <v>378</v>
      </c>
      <c r="C189" s="139" t="s">
        <v>379</v>
      </c>
      <c r="D189" s="140"/>
      <c r="E189" s="11" t="s">
        <v>102</v>
      </c>
      <c r="F189" s="12">
        <v>30</v>
      </c>
      <c r="G189" s="12">
        <v>10.76</v>
      </c>
      <c r="H189" s="12">
        <v>13.73</v>
      </c>
      <c r="I189" s="13">
        <f t="shared" si="12"/>
        <v>322.8</v>
      </c>
      <c r="J189" s="13">
        <f t="shared" si="13"/>
        <v>411.90000000000003</v>
      </c>
    </row>
    <row r="190" spans="1:11" s="1" customFormat="1" ht="25.5" customHeight="1" x14ac:dyDescent="0.2">
      <c r="A190" s="10">
        <v>94668</v>
      </c>
      <c r="B190" s="11" t="s">
        <v>380</v>
      </c>
      <c r="C190" s="139" t="s">
        <v>381</v>
      </c>
      <c r="D190" s="140"/>
      <c r="E190" s="11" t="s">
        <v>102</v>
      </c>
      <c r="F190" s="12">
        <v>11</v>
      </c>
      <c r="G190" s="12">
        <v>42.01</v>
      </c>
      <c r="H190" s="12">
        <v>53.6</v>
      </c>
      <c r="I190" s="13">
        <f t="shared" si="12"/>
        <v>462.10999999999996</v>
      </c>
      <c r="J190" s="13">
        <f t="shared" si="13"/>
        <v>589.6</v>
      </c>
    </row>
    <row r="191" spans="1:11" s="1" customFormat="1" ht="25.5" customHeight="1" x14ac:dyDescent="0.2">
      <c r="A191" s="10">
        <v>94708</v>
      </c>
      <c r="B191" s="11" t="s">
        <v>382</v>
      </c>
      <c r="C191" s="139" t="s">
        <v>383</v>
      </c>
      <c r="D191" s="140"/>
      <c r="E191" s="11" t="s">
        <v>102</v>
      </c>
      <c r="F191" s="12">
        <v>1</v>
      </c>
      <c r="G191" s="12">
        <v>19.79</v>
      </c>
      <c r="H191" s="12">
        <v>25.25</v>
      </c>
      <c r="I191" s="13">
        <f t="shared" si="12"/>
        <v>19.79</v>
      </c>
      <c r="J191" s="13">
        <f t="shared" si="13"/>
        <v>25.25</v>
      </c>
    </row>
    <row r="192" spans="1:11" s="1" customFormat="1" ht="25.5" customHeight="1" x14ac:dyDescent="0.2">
      <c r="A192" s="10">
        <v>94709</v>
      </c>
      <c r="B192" s="11" t="s">
        <v>384</v>
      </c>
      <c r="C192" s="139" t="s">
        <v>385</v>
      </c>
      <c r="D192" s="140"/>
      <c r="E192" s="11" t="s">
        <v>102</v>
      </c>
      <c r="F192" s="12">
        <v>1</v>
      </c>
      <c r="G192" s="12">
        <v>23.32</v>
      </c>
      <c r="H192" s="12">
        <v>29.75</v>
      </c>
      <c r="I192" s="13">
        <f t="shared" si="12"/>
        <v>23.32</v>
      </c>
      <c r="J192" s="13">
        <f t="shared" si="13"/>
        <v>29.75</v>
      </c>
    </row>
    <row r="193" spans="1:10" s="1" customFormat="1" ht="25.5" customHeight="1" x14ac:dyDescent="0.2">
      <c r="A193" s="10">
        <v>94711</v>
      </c>
      <c r="B193" s="11" t="s">
        <v>386</v>
      </c>
      <c r="C193" s="139" t="s">
        <v>387</v>
      </c>
      <c r="D193" s="140"/>
      <c r="E193" s="11" t="s">
        <v>102</v>
      </c>
      <c r="F193" s="12">
        <v>5</v>
      </c>
      <c r="G193" s="12">
        <v>40.08</v>
      </c>
      <c r="H193" s="12">
        <v>51.14</v>
      </c>
      <c r="I193" s="13">
        <f t="shared" si="12"/>
        <v>200.39999999999998</v>
      </c>
      <c r="J193" s="13">
        <f t="shared" si="13"/>
        <v>255.7</v>
      </c>
    </row>
    <row r="194" spans="1:10" s="1" customFormat="1" ht="25.5" customHeight="1" x14ac:dyDescent="0.2">
      <c r="A194" s="10">
        <v>94714</v>
      </c>
      <c r="B194" s="11" t="s">
        <v>388</v>
      </c>
      <c r="C194" s="139" t="s">
        <v>389</v>
      </c>
      <c r="D194" s="140"/>
      <c r="E194" s="11" t="s">
        <v>102</v>
      </c>
      <c r="F194" s="12">
        <v>1</v>
      </c>
      <c r="G194" s="12">
        <v>199.75</v>
      </c>
      <c r="H194" s="12">
        <v>254.86</v>
      </c>
      <c r="I194" s="13">
        <f t="shared" si="12"/>
        <v>199.75</v>
      </c>
      <c r="J194" s="13">
        <f t="shared" si="13"/>
        <v>254.86</v>
      </c>
    </row>
    <row r="195" spans="1:10" s="1" customFormat="1" ht="25.5" customHeight="1" x14ac:dyDescent="0.2">
      <c r="A195" s="8"/>
      <c r="B195" s="23">
        <v>41642</v>
      </c>
      <c r="C195" s="137" t="s">
        <v>390</v>
      </c>
      <c r="D195" s="138"/>
      <c r="E195" s="8"/>
      <c r="F195" s="8"/>
      <c r="G195" s="8"/>
      <c r="H195" s="8"/>
      <c r="I195" s="8"/>
      <c r="J195" s="8"/>
    </row>
    <row r="196" spans="1:10" s="1" customFormat="1" ht="25.5" customHeight="1" x14ac:dyDescent="0.2">
      <c r="A196" s="11" t="s">
        <v>391</v>
      </c>
      <c r="B196" s="11" t="s">
        <v>392</v>
      </c>
      <c r="C196" s="139" t="s">
        <v>393</v>
      </c>
      <c r="D196" s="140"/>
      <c r="E196" s="11" t="s">
        <v>102</v>
      </c>
      <c r="F196" s="12">
        <v>13</v>
      </c>
      <c r="G196" s="12">
        <v>3.37</v>
      </c>
      <c r="H196" s="12">
        <v>4.29</v>
      </c>
      <c r="I196" s="13">
        <f t="shared" ref="I196:I202" si="14">F196*G196</f>
        <v>43.81</v>
      </c>
      <c r="J196" s="13">
        <f t="shared" ref="J196:J202" si="15">F196*H196</f>
        <v>55.77</v>
      </c>
    </row>
    <row r="197" spans="1:10" s="1" customFormat="1" ht="25.5" customHeight="1" x14ac:dyDescent="0.2">
      <c r="A197" s="11" t="s">
        <v>394</v>
      </c>
      <c r="B197" s="11" t="s">
        <v>395</v>
      </c>
      <c r="C197" s="139" t="s">
        <v>396</v>
      </c>
      <c r="D197" s="140"/>
      <c r="E197" s="11" t="s">
        <v>102</v>
      </c>
      <c r="F197" s="12">
        <v>4</v>
      </c>
      <c r="G197" s="12">
        <v>10.220000000000001</v>
      </c>
      <c r="H197" s="12">
        <v>13.03</v>
      </c>
      <c r="I197" s="13">
        <f t="shared" si="14"/>
        <v>40.880000000000003</v>
      </c>
      <c r="J197" s="13">
        <f t="shared" si="15"/>
        <v>52.12</v>
      </c>
    </row>
    <row r="198" spans="1:10" s="1" customFormat="1" ht="25.5" customHeight="1" x14ac:dyDescent="0.2">
      <c r="A198" s="11" t="s">
        <v>397</v>
      </c>
      <c r="B198" s="11" t="s">
        <v>398</v>
      </c>
      <c r="C198" s="139" t="s">
        <v>399</v>
      </c>
      <c r="D198" s="140"/>
      <c r="E198" s="11" t="s">
        <v>102</v>
      </c>
      <c r="F198" s="12">
        <v>2</v>
      </c>
      <c r="G198" s="12">
        <v>10.91</v>
      </c>
      <c r="H198" s="12">
        <v>13.92</v>
      </c>
      <c r="I198" s="13">
        <f t="shared" si="14"/>
        <v>21.82</v>
      </c>
      <c r="J198" s="13">
        <f t="shared" si="15"/>
        <v>27.84</v>
      </c>
    </row>
    <row r="199" spans="1:10" s="1" customFormat="1" ht="25.5" customHeight="1" x14ac:dyDescent="0.2">
      <c r="A199" s="11" t="s">
        <v>400</v>
      </c>
      <c r="B199" s="11" t="s">
        <v>401</v>
      </c>
      <c r="C199" s="139" t="s">
        <v>402</v>
      </c>
      <c r="D199" s="140"/>
      <c r="E199" s="11" t="s">
        <v>102</v>
      </c>
      <c r="F199" s="12">
        <v>5</v>
      </c>
      <c r="G199" s="12">
        <v>13.18</v>
      </c>
      <c r="H199" s="12">
        <v>16.809999999999999</v>
      </c>
      <c r="I199" s="13">
        <f t="shared" si="14"/>
        <v>65.900000000000006</v>
      </c>
      <c r="J199" s="13">
        <f t="shared" si="15"/>
        <v>84.05</v>
      </c>
    </row>
    <row r="200" spans="1:10" s="1" customFormat="1" ht="25.5" customHeight="1" x14ac:dyDescent="0.2">
      <c r="A200" s="11" t="s">
        <v>403</v>
      </c>
      <c r="B200" s="11" t="s">
        <v>404</v>
      </c>
      <c r="C200" s="139" t="s">
        <v>405</v>
      </c>
      <c r="D200" s="140"/>
      <c r="E200" s="11" t="s">
        <v>102</v>
      </c>
      <c r="F200" s="12">
        <v>11</v>
      </c>
      <c r="G200" s="12">
        <v>12.73</v>
      </c>
      <c r="H200" s="12">
        <v>16.239999999999998</v>
      </c>
      <c r="I200" s="13">
        <f t="shared" si="14"/>
        <v>140.03</v>
      </c>
      <c r="J200" s="13">
        <f t="shared" si="15"/>
        <v>178.64</v>
      </c>
    </row>
    <row r="201" spans="1:10" s="1" customFormat="1" ht="25.5" customHeight="1" x14ac:dyDescent="0.2">
      <c r="A201" s="11" t="s">
        <v>406</v>
      </c>
      <c r="B201" s="11" t="s">
        <v>407</v>
      </c>
      <c r="C201" s="139" t="s">
        <v>408</v>
      </c>
      <c r="D201" s="140"/>
      <c r="E201" s="11" t="s">
        <v>102</v>
      </c>
      <c r="F201" s="12">
        <v>12</v>
      </c>
      <c r="G201" s="12">
        <v>8.5299999999999994</v>
      </c>
      <c r="H201" s="12">
        <v>10.89</v>
      </c>
      <c r="I201" s="13">
        <f t="shared" si="14"/>
        <v>102.35999999999999</v>
      </c>
      <c r="J201" s="13">
        <f t="shared" si="15"/>
        <v>130.68</v>
      </c>
    </row>
    <row r="202" spans="1:10" s="1" customFormat="1" ht="25.5" customHeight="1" x14ac:dyDescent="0.2">
      <c r="A202" s="11" t="s">
        <v>409</v>
      </c>
      <c r="B202" s="11" t="s">
        <v>410</v>
      </c>
      <c r="C202" s="139" t="s">
        <v>411</v>
      </c>
      <c r="D202" s="140"/>
      <c r="E202" s="11" t="s">
        <v>102</v>
      </c>
      <c r="F202" s="12">
        <v>6</v>
      </c>
      <c r="G202" s="12">
        <v>22.59</v>
      </c>
      <c r="H202" s="12">
        <v>28.82</v>
      </c>
      <c r="I202" s="13">
        <f t="shared" si="14"/>
        <v>135.54</v>
      </c>
      <c r="J202" s="13">
        <f t="shared" si="15"/>
        <v>172.92000000000002</v>
      </c>
    </row>
    <row r="203" spans="1:10" s="1" customFormat="1" ht="25.5" customHeight="1" x14ac:dyDescent="0.2">
      <c r="A203" s="8"/>
      <c r="B203" s="23">
        <v>41643</v>
      </c>
      <c r="C203" s="137" t="s">
        <v>412</v>
      </c>
      <c r="D203" s="138"/>
      <c r="E203" s="8"/>
      <c r="F203" s="8"/>
      <c r="G203" s="8"/>
      <c r="H203" s="8"/>
      <c r="I203" s="8"/>
      <c r="J203" s="8"/>
    </row>
    <row r="204" spans="1:10" s="1" customFormat="1" ht="25.5" customHeight="1" x14ac:dyDescent="0.2">
      <c r="A204" s="10">
        <v>89408</v>
      </c>
      <c r="B204" s="11" t="s">
        <v>413</v>
      </c>
      <c r="C204" s="139" t="s">
        <v>414</v>
      </c>
      <c r="D204" s="140"/>
      <c r="E204" s="11" t="s">
        <v>102</v>
      </c>
      <c r="F204" s="12">
        <v>91</v>
      </c>
      <c r="G204" s="12">
        <v>4.09</v>
      </c>
      <c r="H204" s="12">
        <v>5.21</v>
      </c>
      <c r="I204" s="13">
        <f t="shared" ref="I204:I214" si="16">F204*G204</f>
        <v>372.19</v>
      </c>
      <c r="J204" s="13">
        <f t="shared" ref="J204:J214" si="17">F204*H204</f>
        <v>474.11</v>
      </c>
    </row>
    <row r="205" spans="1:10" s="1" customFormat="1" ht="25.5" customHeight="1" x14ac:dyDescent="0.2">
      <c r="A205" s="10">
        <v>89413</v>
      </c>
      <c r="B205" s="11" t="s">
        <v>415</v>
      </c>
      <c r="C205" s="139" t="s">
        <v>416</v>
      </c>
      <c r="D205" s="140"/>
      <c r="E205" s="11" t="s">
        <v>102</v>
      </c>
      <c r="F205" s="12">
        <v>28</v>
      </c>
      <c r="G205" s="12">
        <v>5.71</v>
      </c>
      <c r="H205" s="12">
        <v>7.28</v>
      </c>
      <c r="I205" s="13">
        <f t="shared" si="16"/>
        <v>159.88</v>
      </c>
      <c r="J205" s="13">
        <f t="shared" si="17"/>
        <v>203.84</v>
      </c>
    </row>
    <row r="206" spans="1:10" s="1" customFormat="1" ht="25.5" customHeight="1" x14ac:dyDescent="0.2">
      <c r="A206" s="10">
        <v>89501</v>
      </c>
      <c r="B206" s="11" t="s">
        <v>417</v>
      </c>
      <c r="C206" s="139" t="s">
        <v>418</v>
      </c>
      <c r="D206" s="140"/>
      <c r="E206" s="11" t="s">
        <v>102</v>
      </c>
      <c r="F206" s="12">
        <v>20</v>
      </c>
      <c r="G206" s="12">
        <v>8.99</v>
      </c>
      <c r="H206" s="12">
        <v>11.47</v>
      </c>
      <c r="I206" s="13">
        <f t="shared" si="16"/>
        <v>179.8</v>
      </c>
      <c r="J206" s="13">
        <f t="shared" si="17"/>
        <v>229.4</v>
      </c>
    </row>
    <row r="207" spans="1:10" s="1" customFormat="1" ht="25.5" customHeight="1" x14ac:dyDescent="0.2">
      <c r="A207" s="10">
        <v>89505</v>
      </c>
      <c r="B207" s="11" t="s">
        <v>419</v>
      </c>
      <c r="C207" s="139" t="s">
        <v>420</v>
      </c>
      <c r="D207" s="140"/>
      <c r="E207" s="11" t="s">
        <v>102</v>
      </c>
      <c r="F207" s="12">
        <v>10</v>
      </c>
      <c r="G207" s="12">
        <v>23.78</v>
      </c>
      <c r="H207" s="12">
        <v>30.34</v>
      </c>
      <c r="I207" s="13">
        <f t="shared" si="16"/>
        <v>237.8</v>
      </c>
      <c r="J207" s="13">
        <f t="shared" si="17"/>
        <v>303.39999999999998</v>
      </c>
    </row>
    <row r="208" spans="1:10" s="1" customFormat="1" ht="25.5" customHeight="1" x14ac:dyDescent="0.2">
      <c r="A208" s="10">
        <v>89521</v>
      </c>
      <c r="B208" s="11" t="s">
        <v>421</v>
      </c>
      <c r="C208" s="139" t="s">
        <v>422</v>
      </c>
      <c r="D208" s="140"/>
      <c r="E208" s="11" t="s">
        <v>102</v>
      </c>
      <c r="F208" s="12">
        <v>4</v>
      </c>
      <c r="G208" s="12">
        <v>72.209999999999994</v>
      </c>
      <c r="H208" s="12">
        <v>92.13</v>
      </c>
      <c r="I208" s="13">
        <f t="shared" si="16"/>
        <v>288.83999999999997</v>
      </c>
      <c r="J208" s="13">
        <f t="shared" si="17"/>
        <v>368.52</v>
      </c>
    </row>
    <row r="209" spans="1:10" s="1" customFormat="1" ht="25.5" customHeight="1" x14ac:dyDescent="0.2">
      <c r="A209" s="10">
        <v>89409</v>
      </c>
      <c r="B209" s="11" t="s">
        <v>423</v>
      </c>
      <c r="C209" s="139" t="s">
        <v>424</v>
      </c>
      <c r="D209" s="140"/>
      <c r="E209" s="11" t="s">
        <v>102</v>
      </c>
      <c r="F209" s="12">
        <v>5</v>
      </c>
      <c r="G209" s="12">
        <v>4.51</v>
      </c>
      <c r="H209" s="12">
        <v>5.75</v>
      </c>
      <c r="I209" s="13">
        <f t="shared" si="16"/>
        <v>22.549999999999997</v>
      </c>
      <c r="J209" s="13">
        <f t="shared" si="17"/>
        <v>28.75</v>
      </c>
    </row>
    <row r="210" spans="1:10" s="1" customFormat="1" ht="25.5" customHeight="1" x14ac:dyDescent="0.2">
      <c r="A210" s="10">
        <v>89414</v>
      </c>
      <c r="B210" s="11" t="s">
        <v>425</v>
      </c>
      <c r="C210" s="139" t="s">
        <v>426</v>
      </c>
      <c r="D210" s="140"/>
      <c r="E210" s="11" t="s">
        <v>102</v>
      </c>
      <c r="F210" s="12">
        <v>3</v>
      </c>
      <c r="G210" s="12">
        <v>6.88</v>
      </c>
      <c r="H210" s="12">
        <v>8.77</v>
      </c>
      <c r="I210" s="13">
        <f t="shared" si="16"/>
        <v>20.64</v>
      </c>
      <c r="J210" s="13">
        <f t="shared" si="17"/>
        <v>26.31</v>
      </c>
    </row>
    <row r="211" spans="1:10" s="1" customFormat="1" ht="25.5" customHeight="1" x14ac:dyDescent="0.2">
      <c r="A211" s="10">
        <v>89502</v>
      </c>
      <c r="B211" s="11" t="s">
        <v>427</v>
      </c>
      <c r="C211" s="139" t="s">
        <v>428</v>
      </c>
      <c r="D211" s="140"/>
      <c r="E211" s="11" t="s">
        <v>102</v>
      </c>
      <c r="F211" s="12">
        <v>2</v>
      </c>
      <c r="G211" s="12">
        <v>9.86</v>
      </c>
      <c r="H211" s="12">
        <v>12.57</v>
      </c>
      <c r="I211" s="13">
        <f t="shared" si="16"/>
        <v>19.72</v>
      </c>
      <c r="J211" s="13">
        <f t="shared" si="17"/>
        <v>25.14</v>
      </c>
    </row>
    <row r="212" spans="1:10" s="1" customFormat="1" ht="25.5" customHeight="1" x14ac:dyDescent="0.2">
      <c r="A212" s="10">
        <v>89366</v>
      </c>
      <c r="B212" s="11" t="s">
        <v>429</v>
      </c>
      <c r="C212" s="139" t="s">
        <v>430</v>
      </c>
      <c r="D212" s="140"/>
      <c r="E212" s="11" t="s">
        <v>102</v>
      </c>
      <c r="F212" s="12">
        <v>12</v>
      </c>
      <c r="G212" s="12">
        <v>10.4</v>
      </c>
      <c r="H212" s="12">
        <v>13.26</v>
      </c>
      <c r="I212" s="13">
        <f t="shared" si="16"/>
        <v>124.80000000000001</v>
      </c>
      <c r="J212" s="13">
        <f t="shared" si="17"/>
        <v>159.12</v>
      </c>
    </row>
    <row r="213" spans="1:10" s="1" customFormat="1" ht="25.5" customHeight="1" x14ac:dyDescent="0.2">
      <c r="A213" s="10">
        <v>90373</v>
      </c>
      <c r="B213" s="11" t="s">
        <v>431</v>
      </c>
      <c r="C213" s="139" t="s">
        <v>432</v>
      </c>
      <c r="D213" s="140"/>
      <c r="E213" s="11" t="s">
        <v>102</v>
      </c>
      <c r="F213" s="12">
        <v>64</v>
      </c>
      <c r="G213" s="12">
        <v>9.6</v>
      </c>
      <c r="H213" s="12">
        <v>12.25</v>
      </c>
      <c r="I213" s="13">
        <f t="shared" si="16"/>
        <v>614.4</v>
      </c>
      <c r="J213" s="13">
        <f t="shared" si="17"/>
        <v>784</v>
      </c>
    </row>
    <row r="214" spans="1:10" s="1" customFormat="1" ht="25.5" customHeight="1" x14ac:dyDescent="0.2">
      <c r="A214" s="11" t="s">
        <v>433</v>
      </c>
      <c r="B214" s="11" t="s">
        <v>434</v>
      </c>
      <c r="C214" s="139" t="s">
        <v>435</v>
      </c>
      <c r="D214" s="140"/>
      <c r="E214" s="11" t="s">
        <v>102</v>
      </c>
      <c r="F214" s="12">
        <v>13</v>
      </c>
      <c r="G214" s="12">
        <v>7.38</v>
      </c>
      <c r="H214" s="12">
        <v>9.42</v>
      </c>
      <c r="I214" s="13">
        <f t="shared" si="16"/>
        <v>95.94</v>
      </c>
      <c r="J214" s="13">
        <f t="shared" si="17"/>
        <v>122.46</v>
      </c>
    </row>
    <row r="215" spans="1:10" s="1" customFormat="1" ht="25.5" customHeight="1" x14ac:dyDescent="0.2">
      <c r="A215" s="8"/>
      <c r="B215" s="23">
        <v>41644</v>
      </c>
      <c r="C215" s="137" t="s">
        <v>436</v>
      </c>
      <c r="D215" s="138"/>
      <c r="E215" s="8"/>
      <c r="F215" s="8"/>
      <c r="G215" s="8"/>
      <c r="H215" s="8"/>
      <c r="I215" s="8"/>
      <c r="J215" s="8"/>
    </row>
    <row r="216" spans="1:10" s="1" customFormat="1" ht="25.5" customHeight="1" x14ac:dyDescent="0.2">
      <c r="A216" s="10">
        <v>89424</v>
      </c>
      <c r="B216" s="11" t="s">
        <v>437</v>
      </c>
      <c r="C216" s="139" t="s">
        <v>438</v>
      </c>
      <c r="D216" s="140"/>
      <c r="E216" s="11" t="s">
        <v>102</v>
      </c>
      <c r="F216" s="12">
        <v>12</v>
      </c>
      <c r="G216" s="12">
        <v>3.06</v>
      </c>
      <c r="H216" s="12">
        <v>3.9</v>
      </c>
      <c r="I216" s="13">
        <f t="shared" ref="I216:I221" si="18">F216*G216</f>
        <v>36.72</v>
      </c>
      <c r="J216" s="13">
        <f t="shared" ref="J216:J221" si="19">F216*H216</f>
        <v>46.8</v>
      </c>
    </row>
    <row r="217" spans="1:10" s="1" customFormat="1" ht="25.5" customHeight="1" x14ac:dyDescent="0.2">
      <c r="A217" s="10">
        <v>89431</v>
      </c>
      <c r="B217" s="11" t="s">
        <v>439</v>
      </c>
      <c r="C217" s="139" t="s">
        <v>440</v>
      </c>
      <c r="D217" s="140"/>
      <c r="E217" s="11" t="s">
        <v>102</v>
      </c>
      <c r="F217" s="12">
        <v>12</v>
      </c>
      <c r="G217" s="12">
        <v>4.18</v>
      </c>
      <c r="H217" s="12">
        <v>5.33</v>
      </c>
      <c r="I217" s="13">
        <f t="shared" si="18"/>
        <v>50.16</v>
      </c>
      <c r="J217" s="13">
        <f t="shared" si="19"/>
        <v>63.96</v>
      </c>
    </row>
    <row r="218" spans="1:10" s="1" customFormat="1" ht="25.5" customHeight="1" x14ac:dyDescent="0.2">
      <c r="A218" s="10">
        <v>89575</v>
      </c>
      <c r="B218" s="11" t="s">
        <v>441</v>
      </c>
      <c r="C218" s="139" t="s">
        <v>442</v>
      </c>
      <c r="D218" s="140"/>
      <c r="E218" s="11" t="s">
        <v>102</v>
      </c>
      <c r="F218" s="12">
        <v>7</v>
      </c>
      <c r="G218" s="12">
        <v>6.7</v>
      </c>
      <c r="H218" s="12">
        <v>8.5399999999999991</v>
      </c>
      <c r="I218" s="13">
        <f t="shared" si="18"/>
        <v>46.9</v>
      </c>
      <c r="J218" s="13">
        <f t="shared" si="19"/>
        <v>59.779999999999994</v>
      </c>
    </row>
    <row r="219" spans="1:10" s="1" customFormat="1" ht="25.5" customHeight="1" x14ac:dyDescent="0.2">
      <c r="A219" s="10">
        <v>89597</v>
      </c>
      <c r="B219" s="11" t="s">
        <v>443</v>
      </c>
      <c r="C219" s="139" t="s">
        <v>444</v>
      </c>
      <c r="D219" s="140"/>
      <c r="E219" s="11" t="s">
        <v>102</v>
      </c>
      <c r="F219" s="12">
        <v>3</v>
      </c>
      <c r="G219" s="12">
        <v>12.3</v>
      </c>
      <c r="H219" s="12">
        <v>15.7</v>
      </c>
      <c r="I219" s="13">
        <f t="shared" si="18"/>
        <v>36.900000000000006</v>
      </c>
      <c r="J219" s="13">
        <f t="shared" si="19"/>
        <v>47.099999999999994</v>
      </c>
    </row>
    <row r="220" spans="1:10" s="1" customFormat="1" ht="25.5" customHeight="1" x14ac:dyDescent="0.2">
      <c r="A220" s="10">
        <v>89614</v>
      </c>
      <c r="B220" s="11" t="s">
        <v>445</v>
      </c>
      <c r="C220" s="139" t="s">
        <v>446</v>
      </c>
      <c r="D220" s="140"/>
      <c r="E220" s="11" t="s">
        <v>102</v>
      </c>
      <c r="F220" s="12">
        <v>7</v>
      </c>
      <c r="G220" s="12">
        <v>33.06</v>
      </c>
      <c r="H220" s="12">
        <v>42.18</v>
      </c>
      <c r="I220" s="13">
        <f t="shared" si="18"/>
        <v>231.42000000000002</v>
      </c>
      <c r="J220" s="13">
        <f t="shared" si="19"/>
        <v>295.26</v>
      </c>
    </row>
    <row r="221" spans="1:10" s="1" customFormat="1" ht="25.5" customHeight="1" x14ac:dyDescent="0.2">
      <c r="A221" s="11" t="s">
        <v>447</v>
      </c>
      <c r="B221" s="11" t="s">
        <v>448</v>
      </c>
      <c r="C221" s="139" t="s">
        <v>449</v>
      </c>
      <c r="D221" s="140"/>
      <c r="E221" s="11" t="s">
        <v>102</v>
      </c>
      <c r="F221" s="12">
        <v>8</v>
      </c>
      <c r="G221" s="12">
        <v>4.53</v>
      </c>
      <c r="H221" s="12">
        <v>5.78</v>
      </c>
      <c r="I221" s="13">
        <f t="shared" si="18"/>
        <v>36.24</v>
      </c>
      <c r="J221" s="13">
        <f t="shared" si="19"/>
        <v>46.24</v>
      </c>
    </row>
    <row r="222" spans="1:10" s="1" customFormat="1" ht="25.5" customHeight="1" x14ac:dyDescent="0.2">
      <c r="A222" s="8"/>
      <c r="B222" s="23">
        <v>41645</v>
      </c>
      <c r="C222" s="137" t="s">
        <v>450</v>
      </c>
      <c r="D222" s="138"/>
      <c r="E222" s="8"/>
      <c r="F222" s="8"/>
      <c r="G222" s="8"/>
      <c r="H222" s="8"/>
      <c r="I222" s="8"/>
      <c r="J222" s="8"/>
    </row>
    <row r="223" spans="1:10" s="1" customFormat="1" ht="25.5" customHeight="1" x14ac:dyDescent="0.2">
      <c r="A223" s="10">
        <v>89440</v>
      </c>
      <c r="B223" s="11" t="s">
        <v>451</v>
      </c>
      <c r="C223" s="139" t="s">
        <v>452</v>
      </c>
      <c r="D223" s="140"/>
      <c r="E223" s="11" t="s">
        <v>102</v>
      </c>
      <c r="F223" s="12">
        <v>17</v>
      </c>
      <c r="G223" s="12">
        <v>5.76</v>
      </c>
      <c r="H223" s="12">
        <v>7.35</v>
      </c>
      <c r="I223" s="13">
        <f t="shared" ref="I223:I233" si="20">F223*G223</f>
        <v>97.92</v>
      </c>
      <c r="J223" s="13">
        <f t="shared" ref="J223:J233" si="21">F223*H223</f>
        <v>124.94999999999999</v>
      </c>
    </row>
    <row r="224" spans="1:10" s="1" customFormat="1" ht="25.5" customHeight="1" x14ac:dyDescent="0.2">
      <c r="A224" s="10">
        <v>89443</v>
      </c>
      <c r="B224" s="11" t="s">
        <v>453</v>
      </c>
      <c r="C224" s="139" t="s">
        <v>454</v>
      </c>
      <c r="D224" s="140"/>
      <c r="E224" s="11" t="s">
        <v>102</v>
      </c>
      <c r="F224" s="12">
        <v>13</v>
      </c>
      <c r="G224" s="12">
        <v>8.1999999999999993</v>
      </c>
      <c r="H224" s="12">
        <v>10.46</v>
      </c>
      <c r="I224" s="13">
        <f t="shared" si="20"/>
        <v>106.6</v>
      </c>
      <c r="J224" s="13">
        <f t="shared" si="21"/>
        <v>135.98000000000002</v>
      </c>
    </row>
    <row r="225" spans="1:10" s="1" customFormat="1" ht="25.5" customHeight="1" x14ac:dyDescent="0.2">
      <c r="A225" s="10">
        <v>89625</v>
      </c>
      <c r="B225" s="11" t="s">
        <v>455</v>
      </c>
      <c r="C225" s="139" t="s">
        <v>456</v>
      </c>
      <c r="D225" s="140"/>
      <c r="E225" s="11" t="s">
        <v>102</v>
      </c>
      <c r="F225" s="12">
        <v>17</v>
      </c>
      <c r="G225" s="12">
        <v>13.75</v>
      </c>
      <c r="H225" s="12">
        <v>17.55</v>
      </c>
      <c r="I225" s="13">
        <f t="shared" si="20"/>
        <v>233.75</v>
      </c>
      <c r="J225" s="13">
        <f t="shared" si="21"/>
        <v>298.35000000000002</v>
      </c>
    </row>
    <row r="226" spans="1:10" s="1" customFormat="1" ht="25.5" customHeight="1" x14ac:dyDescent="0.2">
      <c r="A226" s="10">
        <v>89628</v>
      </c>
      <c r="B226" s="11" t="s">
        <v>457</v>
      </c>
      <c r="C226" s="139" t="s">
        <v>458</v>
      </c>
      <c r="D226" s="140"/>
      <c r="E226" s="11" t="s">
        <v>102</v>
      </c>
      <c r="F226" s="12">
        <v>8</v>
      </c>
      <c r="G226" s="12">
        <v>27.72</v>
      </c>
      <c r="H226" s="12">
        <v>35.369999999999997</v>
      </c>
      <c r="I226" s="13">
        <f t="shared" si="20"/>
        <v>221.76</v>
      </c>
      <c r="J226" s="13">
        <f t="shared" si="21"/>
        <v>282.95999999999998</v>
      </c>
    </row>
    <row r="227" spans="1:10" s="1" customFormat="1" ht="25.5" customHeight="1" x14ac:dyDescent="0.2">
      <c r="A227" s="10">
        <v>89631</v>
      </c>
      <c r="B227" s="11" t="s">
        <v>459</v>
      </c>
      <c r="C227" s="139" t="s">
        <v>460</v>
      </c>
      <c r="D227" s="140"/>
      <c r="E227" s="11" t="s">
        <v>102</v>
      </c>
      <c r="F227" s="12">
        <v>6</v>
      </c>
      <c r="G227" s="12">
        <v>71.03</v>
      </c>
      <c r="H227" s="12">
        <v>90.62</v>
      </c>
      <c r="I227" s="13">
        <f t="shared" si="20"/>
        <v>426.18</v>
      </c>
      <c r="J227" s="13">
        <f t="shared" si="21"/>
        <v>543.72</v>
      </c>
    </row>
    <row r="228" spans="1:10" s="1" customFormat="1" ht="25.5" customHeight="1" x14ac:dyDescent="0.2">
      <c r="A228" s="11" t="s">
        <v>78</v>
      </c>
      <c r="B228" s="11" t="s">
        <v>461</v>
      </c>
      <c r="C228" s="139" t="s">
        <v>462</v>
      </c>
      <c r="D228" s="140"/>
      <c r="E228" s="11" t="s">
        <v>102</v>
      </c>
      <c r="F228" s="12">
        <v>13</v>
      </c>
      <c r="G228" s="12">
        <v>12.99</v>
      </c>
      <c r="H228" s="12">
        <v>16.57</v>
      </c>
      <c r="I228" s="13">
        <f t="shared" si="20"/>
        <v>168.87</v>
      </c>
      <c r="J228" s="13">
        <f t="shared" si="21"/>
        <v>215.41</v>
      </c>
    </row>
    <row r="229" spans="1:10" s="1" customFormat="1" ht="25.5" customHeight="1" x14ac:dyDescent="0.2">
      <c r="A229" s="11" t="s">
        <v>78</v>
      </c>
      <c r="B229" s="11" t="s">
        <v>463</v>
      </c>
      <c r="C229" s="139" t="s">
        <v>464</v>
      </c>
      <c r="D229" s="140"/>
      <c r="E229" s="11" t="s">
        <v>102</v>
      </c>
      <c r="F229" s="12">
        <v>4</v>
      </c>
      <c r="G229" s="12">
        <v>14.25</v>
      </c>
      <c r="H229" s="12">
        <v>18.18</v>
      </c>
      <c r="I229" s="13">
        <f t="shared" si="20"/>
        <v>57</v>
      </c>
      <c r="J229" s="13">
        <f t="shared" si="21"/>
        <v>72.72</v>
      </c>
    </row>
    <row r="230" spans="1:10" s="1" customFormat="1" ht="25.5" customHeight="1" x14ac:dyDescent="0.2">
      <c r="A230" s="10">
        <v>89400</v>
      </c>
      <c r="B230" s="11" t="s">
        <v>465</v>
      </c>
      <c r="C230" s="139" t="s">
        <v>466</v>
      </c>
      <c r="D230" s="140"/>
      <c r="E230" s="11" t="s">
        <v>102</v>
      </c>
      <c r="F230" s="12">
        <v>26</v>
      </c>
      <c r="G230" s="12">
        <v>13.19</v>
      </c>
      <c r="H230" s="12">
        <v>16.829999999999998</v>
      </c>
      <c r="I230" s="13">
        <f t="shared" si="20"/>
        <v>342.94</v>
      </c>
      <c r="J230" s="13">
        <f t="shared" si="21"/>
        <v>437.57999999999993</v>
      </c>
    </row>
    <row r="231" spans="1:10" s="1" customFormat="1" ht="25.5" customHeight="1" x14ac:dyDescent="0.2">
      <c r="A231" s="10">
        <v>89627</v>
      </c>
      <c r="B231" s="11" t="s">
        <v>467</v>
      </c>
      <c r="C231" s="139" t="s">
        <v>468</v>
      </c>
      <c r="D231" s="140"/>
      <c r="E231" s="11" t="s">
        <v>102</v>
      </c>
      <c r="F231" s="12">
        <v>3</v>
      </c>
      <c r="G231" s="12">
        <v>13.53</v>
      </c>
      <c r="H231" s="12">
        <v>17.260000000000002</v>
      </c>
      <c r="I231" s="13">
        <f t="shared" si="20"/>
        <v>40.589999999999996</v>
      </c>
      <c r="J231" s="13">
        <f t="shared" si="21"/>
        <v>51.78</v>
      </c>
    </row>
    <row r="232" spans="1:10" s="1" customFormat="1" ht="25.5" customHeight="1" x14ac:dyDescent="0.2">
      <c r="A232" s="11" t="s">
        <v>78</v>
      </c>
      <c r="B232" s="11" t="s">
        <v>469</v>
      </c>
      <c r="C232" s="139" t="s">
        <v>470</v>
      </c>
      <c r="D232" s="140"/>
      <c r="E232" s="11" t="s">
        <v>102</v>
      </c>
      <c r="F232" s="12">
        <v>2</v>
      </c>
      <c r="G232" s="12">
        <v>26.32</v>
      </c>
      <c r="H232" s="12">
        <v>33.58</v>
      </c>
      <c r="I232" s="13">
        <f t="shared" si="20"/>
        <v>52.64</v>
      </c>
      <c r="J232" s="13">
        <f t="shared" si="21"/>
        <v>67.16</v>
      </c>
    </row>
    <row r="233" spans="1:10" s="1" customFormat="1" ht="25.5" customHeight="1" x14ac:dyDescent="0.2">
      <c r="A233" s="10">
        <v>89632</v>
      </c>
      <c r="B233" s="11" t="s">
        <v>471</v>
      </c>
      <c r="C233" s="139" t="s">
        <v>472</v>
      </c>
      <c r="D233" s="140"/>
      <c r="E233" s="11" t="s">
        <v>102</v>
      </c>
      <c r="F233" s="12">
        <v>14</v>
      </c>
      <c r="G233" s="12">
        <v>61.2</v>
      </c>
      <c r="H233" s="12">
        <v>78.09</v>
      </c>
      <c r="I233" s="13">
        <f t="shared" si="20"/>
        <v>856.80000000000007</v>
      </c>
      <c r="J233" s="13">
        <f t="shared" si="21"/>
        <v>1093.26</v>
      </c>
    </row>
    <row r="234" spans="1:10" s="1" customFormat="1" ht="25.5" customHeight="1" x14ac:dyDescent="0.2">
      <c r="A234" s="8"/>
      <c r="B234" s="23">
        <v>41646</v>
      </c>
      <c r="C234" s="137" t="s">
        <v>473</v>
      </c>
      <c r="D234" s="138"/>
      <c r="E234" s="8"/>
      <c r="F234" s="8"/>
      <c r="G234" s="8"/>
      <c r="H234" s="8"/>
      <c r="I234" s="8"/>
      <c r="J234" s="8"/>
    </row>
    <row r="235" spans="1:10" s="1" customFormat="1" ht="25.5" customHeight="1" x14ac:dyDescent="0.2">
      <c r="A235" s="10">
        <v>89382</v>
      </c>
      <c r="B235" s="11" t="s">
        <v>474</v>
      </c>
      <c r="C235" s="139" t="s">
        <v>475</v>
      </c>
      <c r="D235" s="140"/>
      <c r="E235" s="11" t="s">
        <v>102</v>
      </c>
      <c r="F235" s="12">
        <v>2</v>
      </c>
      <c r="G235" s="12">
        <v>8.39</v>
      </c>
      <c r="H235" s="12">
        <v>10.7</v>
      </c>
      <c r="I235" s="13">
        <f>F235*G235</f>
        <v>16.78</v>
      </c>
      <c r="J235" s="13">
        <f>F235*H235</f>
        <v>21.4</v>
      </c>
    </row>
    <row r="236" spans="1:10" s="1" customFormat="1" ht="25.5" customHeight="1" x14ac:dyDescent="0.2">
      <c r="A236" s="10">
        <v>89390</v>
      </c>
      <c r="B236" s="11" t="s">
        <v>476</v>
      </c>
      <c r="C236" s="139" t="s">
        <v>477</v>
      </c>
      <c r="D236" s="140"/>
      <c r="E236" s="11" t="s">
        <v>102</v>
      </c>
      <c r="F236" s="12">
        <v>2</v>
      </c>
      <c r="G236" s="12">
        <v>12.33</v>
      </c>
      <c r="H236" s="12">
        <v>15.73</v>
      </c>
      <c r="I236" s="13">
        <f>F236*G236</f>
        <v>24.66</v>
      </c>
      <c r="J236" s="13">
        <f>F236*H236</f>
        <v>31.46</v>
      </c>
    </row>
    <row r="237" spans="1:10" s="1" customFormat="1" ht="25.5" customHeight="1" x14ac:dyDescent="0.2">
      <c r="A237" s="10">
        <v>89594</v>
      </c>
      <c r="B237" s="11" t="s">
        <v>478</v>
      </c>
      <c r="C237" s="139" t="s">
        <v>479</v>
      </c>
      <c r="D237" s="140"/>
      <c r="E237" s="11" t="s">
        <v>102</v>
      </c>
      <c r="F237" s="12">
        <v>4</v>
      </c>
      <c r="G237" s="12">
        <v>21.53</v>
      </c>
      <c r="H237" s="12">
        <v>27.47</v>
      </c>
      <c r="I237" s="13">
        <f>F237*G237</f>
        <v>86.12</v>
      </c>
      <c r="J237" s="13">
        <f>F237*H237</f>
        <v>109.88</v>
      </c>
    </row>
    <row r="238" spans="1:10" s="1" customFormat="1" ht="25.5" customHeight="1" x14ac:dyDescent="0.2">
      <c r="A238" s="10">
        <v>89615</v>
      </c>
      <c r="B238" s="11" t="s">
        <v>480</v>
      </c>
      <c r="C238" s="139" t="s">
        <v>481</v>
      </c>
      <c r="D238" s="140"/>
      <c r="E238" s="11" t="s">
        <v>102</v>
      </c>
      <c r="F238" s="12">
        <v>2</v>
      </c>
      <c r="G238" s="12">
        <v>133.13999999999999</v>
      </c>
      <c r="H238" s="12">
        <v>169.87</v>
      </c>
      <c r="I238" s="13">
        <f>F238*G238</f>
        <v>266.27999999999997</v>
      </c>
      <c r="J238" s="13">
        <f>F238*H238</f>
        <v>339.74</v>
      </c>
    </row>
    <row r="239" spans="1:10" s="1" customFormat="1" ht="25.5" customHeight="1" x14ac:dyDescent="0.2">
      <c r="A239" s="8"/>
      <c r="B239" s="23">
        <v>41647</v>
      </c>
      <c r="C239" s="137" t="s">
        <v>482</v>
      </c>
      <c r="D239" s="138"/>
      <c r="E239" s="8"/>
      <c r="F239" s="8"/>
      <c r="G239" s="8"/>
      <c r="H239" s="8"/>
      <c r="I239" s="8"/>
      <c r="J239" s="8"/>
    </row>
    <row r="240" spans="1:10" s="1" customFormat="1" ht="25.5" customHeight="1" x14ac:dyDescent="0.2">
      <c r="A240" s="11" t="s">
        <v>483</v>
      </c>
      <c r="B240" s="11" t="s">
        <v>484</v>
      </c>
      <c r="C240" s="139" t="s">
        <v>485</v>
      </c>
      <c r="D240" s="140"/>
      <c r="E240" s="11" t="s">
        <v>102</v>
      </c>
      <c r="F240" s="12">
        <v>74</v>
      </c>
      <c r="G240" s="12">
        <v>1.81</v>
      </c>
      <c r="H240" s="12">
        <v>2.31</v>
      </c>
      <c r="I240" s="13">
        <f>F240*G240</f>
        <v>133.94</v>
      </c>
      <c r="J240" s="13">
        <f>F240*H240</f>
        <v>170.94</v>
      </c>
    </row>
    <row r="241" spans="1:11" s="1" customFormat="1" ht="25.5" customHeight="1" x14ac:dyDescent="0.2">
      <c r="A241" s="11" t="s">
        <v>486</v>
      </c>
      <c r="B241" s="11" t="s">
        <v>487</v>
      </c>
      <c r="C241" s="139" t="s">
        <v>488</v>
      </c>
      <c r="D241" s="140"/>
      <c r="E241" s="11" t="s">
        <v>102</v>
      </c>
      <c r="F241" s="12">
        <v>17</v>
      </c>
      <c r="G241" s="12">
        <v>2.93</v>
      </c>
      <c r="H241" s="12">
        <v>3.73</v>
      </c>
      <c r="I241" s="13">
        <f>F241*G241</f>
        <v>49.81</v>
      </c>
      <c r="J241" s="13">
        <f>F241*H241</f>
        <v>63.41</v>
      </c>
    </row>
    <row r="242" spans="1:11" s="1" customFormat="1" ht="25.5" customHeight="1" x14ac:dyDescent="0.2">
      <c r="A242" s="11" t="s">
        <v>78</v>
      </c>
      <c r="B242" s="11" t="s">
        <v>489</v>
      </c>
      <c r="C242" s="139" t="s">
        <v>490</v>
      </c>
      <c r="D242" s="140"/>
      <c r="E242" s="11" t="s">
        <v>102</v>
      </c>
      <c r="F242" s="12">
        <v>23</v>
      </c>
      <c r="G242" s="12">
        <v>4.1100000000000003</v>
      </c>
      <c r="H242" s="12">
        <v>5.25</v>
      </c>
      <c r="I242" s="13">
        <f>F242*G242</f>
        <v>94.53</v>
      </c>
      <c r="J242" s="13">
        <f>F242*H242</f>
        <v>120.75</v>
      </c>
    </row>
    <row r="243" spans="1:11" s="1" customFormat="1" ht="25.5" customHeight="1" x14ac:dyDescent="0.2">
      <c r="A243" s="8"/>
      <c r="B243" s="149" t="s">
        <v>491</v>
      </c>
      <c r="C243" s="150"/>
      <c r="D243" s="150"/>
      <c r="E243" s="150"/>
      <c r="F243" s="150"/>
      <c r="G243" s="151"/>
      <c r="H243" s="8"/>
      <c r="I243" s="14">
        <f>SUM(I181:I242)-1.65</f>
        <v>19785.32999999998</v>
      </c>
      <c r="J243" s="15">
        <f>SUM(J181:J242)-0.16</f>
        <v>25244.099999999995</v>
      </c>
      <c r="K243" s="49"/>
    </row>
    <row r="244" spans="1:11" s="1" customFormat="1" ht="25.5" customHeight="1" x14ac:dyDescent="0.2">
      <c r="A244" s="8"/>
      <c r="B244" s="9" t="s">
        <v>492</v>
      </c>
      <c r="C244" s="137" t="s">
        <v>493</v>
      </c>
      <c r="D244" s="138"/>
      <c r="E244" s="8"/>
      <c r="F244" s="8"/>
      <c r="G244" s="8"/>
      <c r="H244" s="8"/>
      <c r="I244" s="8"/>
      <c r="J244" s="8"/>
    </row>
    <row r="245" spans="1:11" s="1" customFormat="1" ht="25.5" customHeight="1" x14ac:dyDescent="0.2">
      <c r="A245" s="10">
        <v>86902</v>
      </c>
      <c r="B245" s="11" t="s">
        <v>494</v>
      </c>
      <c r="C245" s="139" t="s">
        <v>495</v>
      </c>
      <c r="D245" s="140"/>
      <c r="E245" s="11" t="s">
        <v>102</v>
      </c>
      <c r="F245" s="12">
        <v>7</v>
      </c>
      <c r="G245" s="12">
        <v>179.19</v>
      </c>
      <c r="H245" s="12">
        <v>228.63</v>
      </c>
      <c r="I245" s="13">
        <f t="shared" ref="I245:I298" si="22">F245*G245</f>
        <v>1254.33</v>
      </c>
      <c r="J245" s="13">
        <f t="shared" ref="J245:J298" si="23">F245*H245</f>
        <v>1600.4099999999999</v>
      </c>
    </row>
    <row r="246" spans="1:11" s="1" customFormat="1" ht="25.5" customHeight="1" x14ac:dyDescent="0.2">
      <c r="A246" s="10">
        <v>86938</v>
      </c>
      <c r="B246" s="11" t="s">
        <v>496</v>
      </c>
      <c r="C246" s="139" t="s">
        <v>497</v>
      </c>
      <c r="D246" s="140"/>
      <c r="E246" s="11" t="s">
        <v>102</v>
      </c>
      <c r="F246" s="12">
        <v>2</v>
      </c>
      <c r="G246" s="12">
        <v>212.03</v>
      </c>
      <c r="H246" s="12">
        <v>270.52999999999997</v>
      </c>
      <c r="I246" s="13">
        <f t="shared" si="22"/>
        <v>424.06</v>
      </c>
      <c r="J246" s="13">
        <f t="shared" si="23"/>
        <v>541.05999999999995</v>
      </c>
    </row>
    <row r="247" spans="1:11" s="1" customFormat="1" ht="25.5" customHeight="1" x14ac:dyDescent="0.2">
      <c r="A247" s="10">
        <v>86901</v>
      </c>
      <c r="B247" s="11" t="s">
        <v>498</v>
      </c>
      <c r="C247" s="139" t="s">
        <v>499</v>
      </c>
      <c r="D247" s="140"/>
      <c r="E247" s="11" t="s">
        <v>102</v>
      </c>
      <c r="F247" s="12">
        <v>2</v>
      </c>
      <c r="G247" s="12">
        <v>101.58</v>
      </c>
      <c r="H247" s="12">
        <v>129.61000000000001</v>
      </c>
      <c r="I247" s="13">
        <f t="shared" si="22"/>
        <v>203.16</v>
      </c>
      <c r="J247" s="13">
        <f t="shared" si="23"/>
        <v>259.22000000000003</v>
      </c>
    </row>
    <row r="248" spans="1:11" s="1" customFormat="1" ht="25.5" customHeight="1" x14ac:dyDescent="0.2">
      <c r="A248" s="11" t="s">
        <v>78</v>
      </c>
      <c r="B248" s="11" t="s">
        <v>500</v>
      </c>
      <c r="C248" s="139" t="s">
        <v>501</v>
      </c>
      <c r="D248" s="140"/>
      <c r="E248" s="11" t="s">
        <v>102</v>
      </c>
      <c r="F248" s="12">
        <v>2</v>
      </c>
      <c r="G248" s="12">
        <v>412.2</v>
      </c>
      <c r="H248" s="12">
        <v>525.92999999999995</v>
      </c>
      <c r="I248" s="13">
        <f t="shared" si="22"/>
        <v>824.4</v>
      </c>
      <c r="J248" s="13">
        <f t="shared" si="23"/>
        <v>1051.8599999999999</v>
      </c>
    </row>
    <row r="249" spans="1:11" s="1" customFormat="1" ht="25.5" customHeight="1" x14ac:dyDescent="0.2">
      <c r="A249" s="10">
        <v>72739</v>
      </c>
      <c r="B249" s="11" t="s">
        <v>502</v>
      </c>
      <c r="C249" s="139" t="s">
        <v>503</v>
      </c>
      <c r="D249" s="140"/>
      <c r="E249" s="11" t="s">
        <v>102</v>
      </c>
      <c r="F249" s="12">
        <v>12</v>
      </c>
      <c r="G249" s="12">
        <v>348.66</v>
      </c>
      <c r="H249" s="12">
        <v>444.86</v>
      </c>
      <c r="I249" s="13">
        <f t="shared" si="22"/>
        <v>4183.92</v>
      </c>
      <c r="J249" s="13">
        <f t="shared" si="23"/>
        <v>5338.32</v>
      </c>
    </row>
    <row r="250" spans="1:11" s="1" customFormat="1" ht="25.5" customHeight="1" x14ac:dyDescent="0.2">
      <c r="A250" s="10">
        <v>95469</v>
      </c>
      <c r="B250" s="11" t="s">
        <v>504</v>
      </c>
      <c r="C250" s="139" t="s">
        <v>505</v>
      </c>
      <c r="D250" s="140"/>
      <c r="E250" s="11" t="s">
        <v>102</v>
      </c>
      <c r="F250" s="12">
        <v>9</v>
      </c>
      <c r="G250" s="12">
        <v>153.37</v>
      </c>
      <c r="H250" s="12">
        <v>195.68</v>
      </c>
      <c r="I250" s="13">
        <f t="shared" si="22"/>
        <v>1380.33</v>
      </c>
      <c r="J250" s="13">
        <f t="shared" si="23"/>
        <v>1761.1200000000001</v>
      </c>
    </row>
    <row r="251" spans="1:11" s="1" customFormat="1" ht="25.5" customHeight="1" x14ac:dyDescent="0.2">
      <c r="A251" s="11" t="s">
        <v>78</v>
      </c>
      <c r="B251" s="11" t="s">
        <v>506</v>
      </c>
      <c r="C251" s="139" t="s">
        <v>507</v>
      </c>
      <c r="D251" s="140"/>
      <c r="E251" s="11" t="s">
        <v>102</v>
      </c>
      <c r="F251" s="12">
        <v>2</v>
      </c>
      <c r="G251" s="12">
        <v>62.01</v>
      </c>
      <c r="H251" s="12">
        <v>79.12</v>
      </c>
      <c r="I251" s="13">
        <f t="shared" si="22"/>
        <v>124.02</v>
      </c>
      <c r="J251" s="13">
        <f t="shared" si="23"/>
        <v>158.24</v>
      </c>
    </row>
    <row r="252" spans="1:11" s="1" customFormat="1" ht="25.5" customHeight="1" x14ac:dyDescent="0.2">
      <c r="A252" s="11" t="s">
        <v>78</v>
      </c>
      <c r="B252" s="11" t="s">
        <v>508</v>
      </c>
      <c r="C252" s="139" t="s">
        <v>509</v>
      </c>
      <c r="D252" s="140"/>
      <c r="E252" s="11" t="s">
        <v>102</v>
      </c>
      <c r="F252" s="12">
        <v>12</v>
      </c>
      <c r="G252" s="12">
        <v>47.22</v>
      </c>
      <c r="H252" s="12">
        <v>60.25</v>
      </c>
      <c r="I252" s="13">
        <f t="shared" si="22"/>
        <v>566.64</v>
      </c>
      <c r="J252" s="13">
        <f t="shared" si="23"/>
        <v>723</v>
      </c>
    </row>
    <row r="253" spans="1:11" s="1" customFormat="1" ht="25.5" customHeight="1" x14ac:dyDescent="0.2">
      <c r="A253" s="11" t="s">
        <v>510</v>
      </c>
      <c r="B253" s="11" t="s">
        <v>511</v>
      </c>
      <c r="C253" s="139" t="s">
        <v>512</v>
      </c>
      <c r="D253" s="140"/>
      <c r="E253" s="11" t="s">
        <v>102</v>
      </c>
      <c r="F253" s="12">
        <v>9</v>
      </c>
      <c r="G253" s="12">
        <v>30.39</v>
      </c>
      <c r="H253" s="12">
        <v>38.78</v>
      </c>
      <c r="I253" s="13">
        <f t="shared" si="22"/>
        <v>273.51</v>
      </c>
      <c r="J253" s="13">
        <f t="shared" si="23"/>
        <v>349.02</v>
      </c>
    </row>
    <row r="254" spans="1:11" s="1" customFormat="1" ht="25.5" customHeight="1" x14ac:dyDescent="0.2">
      <c r="A254" s="11" t="s">
        <v>308</v>
      </c>
      <c r="B254" s="11" t="s">
        <v>513</v>
      </c>
      <c r="C254" s="139" t="s">
        <v>514</v>
      </c>
      <c r="D254" s="140"/>
      <c r="E254" s="11" t="s">
        <v>102</v>
      </c>
      <c r="F254" s="12">
        <v>2</v>
      </c>
      <c r="G254" s="12">
        <v>224.79</v>
      </c>
      <c r="H254" s="12">
        <v>286.81</v>
      </c>
      <c r="I254" s="13">
        <f t="shared" si="22"/>
        <v>449.58</v>
      </c>
      <c r="J254" s="13">
        <f t="shared" si="23"/>
        <v>573.62</v>
      </c>
    </row>
    <row r="255" spans="1:11" s="1" customFormat="1" ht="25.5" customHeight="1" x14ac:dyDescent="0.2">
      <c r="A255" s="11" t="s">
        <v>308</v>
      </c>
      <c r="B255" s="11" t="s">
        <v>515</v>
      </c>
      <c r="C255" s="139" t="s">
        <v>516</v>
      </c>
      <c r="D255" s="140"/>
      <c r="E255" s="11" t="s">
        <v>102</v>
      </c>
      <c r="F255" s="12">
        <v>8</v>
      </c>
      <c r="G255" s="12">
        <v>170.36</v>
      </c>
      <c r="H255" s="12">
        <v>217.36</v>
      </c>
      <c r="I255" s="13">
        <f t="shared" si="22"/>
        <v>1362.88</v>
      </c>
      <c r="J255" s="13">
        <f t="shared" si="23"/>
        <v>1738.88</v>
      </c>
    </row>
    <row r="256" spans="1:11" s="1" customFormat="1" ht="25.5" customHeight="1" x14ac:dyDescent="0.2">
      <c r="A256" s="11" t="s">
        <v>308</v>
      </c>
      <c r="B256" s="11" t="s">
        <v>517</v>
      </c>
      <c r="C256" s="139" t="s">
        <v>518</v>
      </c>
      <c r="D256" s="140"/>
      <c r="E256" s="11" t="s">
        <v>102</v>
      </c>
      <c r="F256" s="12">
        <v>4</v>
      </c>
      <c r="G256" s="12">
        <v>108</v>
      </c>
      <c r="H256" s="12">
        <v>137.80000000000001</v>
      </c>
      <c r="I256" s="13">
        <f t="shared" si="22"/>
        <v>432</v>
      </c>
      <c r="J256" s="13">
        <f t="shared" si="23"/>
        <v>551.20000000000005</v>
      </c>
    </row>
    <row r="257" spans="1:10" s="1" customFormat="1" ht="25.5" customHeight="1" x14ac:dyDescent="0.2">
      <c r="A257" s="11" t="s">
        <v>308</v>
      </c>
      <c r="B257" s="11" t="s">
        <v>519</v>
      </c>
      <c r="C257" s="139" t="s">
        <v>520</v>
      </c>
      <c r="D257" s="140"/>
      <c r="E257" s="11" t="s">
        <v>102</v>
      </c>
      <c r="F257" s="12">
        <v>1</v>
      </c>
      <c r="G257" s="13">
        <v>1249</v>
      </c>
      <c r="H257" s="13">
        <v>1593.6</v>
      </c>
      <c r="I257" s="13">
        <f t="shared" si="22"/>
        <v>1249</v>
      </c>
      <c r="J257" s="13">
        <f t="shared" si="23"/>
        <v>1593.6</v>
      </c>
    </row>
    <row r="258" spans="1:10" s="1" customFormat="1" ht="25.5" customHeight="1" x14ac:dyDescent="0.2">
      <c r="A258" s="10">
        <v>86909</v>
      </c>
      <c r="B258" s="11" t="s">
        <v>521</v>
      </c>
      <c r="C258" s="139" t="s">
        <v>522</v>
      </c>
      <c r="D258" s="140"/>
      <c r="E258" s="11" t="s">
        <v>102</v>
      </c>
      <c r="F258" s="12">
        <v>7</v>
      </c>
      <c r="G258" s="12">
        <v>74.2</v>
      </c>
      <c r="H258" s="12">
        <v>94.67</v>
      </c>
      <c r="I258" s="13">
        <f t="shared" si="22"/>
        <v>519.4</v>
      </c>
      <c r="J258" s="13">
        <f t="shared" si="23"/>
        <v>662.69</v>
      </c>
    </row>
    <row r="259" spans="1:10" s="1" customFormat="1" ht="25.5" customHeight="1" x14ac:dyDescent="0.2">
      <c r="A259" s="10">
        <v>86911</v>
      </c>
      <c r="B259" s="11" t="s">
        <v>523</v>
      </c>
      <c r="C259" s="139" t="s">
        <v>524</v>
      </c>
      <c r="D259" s="140"/>
      <c r="E259" s="11" t="s">
        <v>102</v>
      </c>
      <c r="F259" s="12">
        <v>14</v>
      </c>
      <c r="G259" s="12">
        <v>31.64</v>
      </c>
      <c r="H259" s="12">
        <v>40.369999999999997</v>
      </c>
      <c r="I259" s="13">
        <f t="shared" si="22"/>
        <v>442.96000000000004</v>
      </c>
      <c r="J259" s="13">
        <f t="shared" si="23"/>
        <v>565.17999999999995</v>
      </c>
    </row>
    <row r="260" spans="1:10" s="1" customFormat="1" ht="25.5" customHeight="1" x14ac:dyDescent="0.2">
      <c r="A260" s="10">
        <v>86915</v>
      </c>
      <c r="B260" s="11" t="s">
        <v>525</v>
      </c>
      <c r="C260" s="139" t="s">
        <v>526</v>
      </c>
      <c r="D260" s="140"/>
      <c r="E260" s="11" t="s">
        <v>102</v>
      </c>
      <c r="F260" s="12">
        <v>5</v>
      </c>
      <c r="G260" s="12">
        <v>62.36</v>
      </c>
      <c r="H260" s="12">
        <v>79.569999999999993</v>
      </c>
      <c r="I260" s="13">
        <f t="shared" si="22"/>
        <v>311.8</v>
      </c>
      <c r="J260" s="13">
        <f t="shared" si="23"/>
        <v>397.84999999999997</v>
      </c>
    </row>
    <row r="261" spans="1:10" s="1" customFormat="1" ht="25.5" customHeight="1" x14ac:dyDescent="0.2">
      <c r="A261" s="11" t="s">
        <v>527</v>
      </c>
      <c r="B261" s="11" t="s">
        <v>528</v>
      </c>
      <c r="C261" s="139" t="s">
        <v>529</v>
      </c>
      <c r="D261" s="140"/>
      <c r="E261" s="11" t="s">
        <v>102</v>
      </c>
      <c r="F261" s="12">
        <v>3</v>
      </c>
      <c r="G261" s="12">
        <v>100.46</v>
      </c>
      <c r="H261" s="12">
        <v>128.16999999999999</v>
      </c>
      <c r="I261" s="13">
        <f t="shared" si="22"/>
        <v>301.38</v>
      </c>
      <c r="J261" s="13">
        <f t="shared" si="23"/>
        <v>384.51</v>
      </c>
    </row>
    <row r="262" spans="1:10" s="1" customFormat="1" ht="25.5" customHeight="1" x14ac:dyDescent="0.2">
      <c r="A262" s="10">
        <v>86910</v>
      </c>
      <c r="B262" s="11" t="s">
        <v>530</v>
      </c>
      <c r="C262" s="139" t="s">
        <v>531</v>
      </c>
      <c r="D262" s="140"/>
      <c r="E262" s="11" t="s">
        <v>102</v>
      </c>
      <c r="F262" s="12">
        <v>4</v>
      </c>
      <c r="G262" s="12">
        <v>71</v>
      </c>
      <c r="H262" s="12">
        <v>90.59</v>
      </c>
      <c r="I262" s="13">
        <f t="shared" si="22"/>
        <v>284</v>
      </c>
      <c r="J262" s="13">
        <f t="shared" si="23"/>
        <v>362.36</v>
      </c>
    </row>
    <row r="263" spans="1:10" s="1" customFormat="1" ht="25.5" customHeight="1" x14ac:dyDescent="0.2">
      <c r="A263" s="10">
        <v>86906</v>
      </c>
      <c r="B263" s="11" t="s">
        <v>532</v>
      </c>
      <c r="C263" s="139" t="s">
        <v>533</v>
      </c>
      <c r="D263" s="140"/>
      <c r="E263" s="11" t="s">
        <v>102</v>
      </c>
      <c r="F263" s="12">
        <v>7</v>
      </c>
      <c r="G263" s="12">
        <v>37.18</v>
      </c>
      <c r="H263" s="12">
        <v>47.44</v>
      </c>
      <c r="I263" s="13">
        <f t="shared" si="22"/>
        <v>260.26</v>
      </c>
      <c r="J263" s="13">
        <f t="shared" si="23"/>
        <v>332.08</v>
      </c>
    </row>
    <row r="264" spans="1:10" s="1" customFormat="1" ht="25.5" customHeight="1" x14ac:dyDescent="0.2">
      <c r="A264" s="10">
        <v>86913</v>
      </c>
      <c r="B264" s="11" t="s">
        <v>534</v>
      </c>
      <c r="C264" s="139" t="s">
        <v>535</v>
      </c>
      <c r="D264" s="140"/>
      <c r="E264" s="11" t="s">
        <v>102</v>
      </c>
      <c r="F264" s="12">
        <v>6</v>
      </c>
      <c r="G264" s="12">
        <v>14.42</v>
      </c>
      <c r="H264" s="12">
        <v>18.399999999999999</v>
      </c>
      <c r="I264" s="13">
        <f t="shared" si="22"/>
        <v>86.52</v>
      </c>
      <c r="J264" s="13">
        <f t="shared" si="23"/>
        <v>110.39999999999999</v>
      </c>
    </row>
    <row r="265" spans="1:10" s="1" customFormat="1" ht="25.5" customHeight="1" x14ac:dyDescent="0.2">
      <c r="A265" s="11" t="s">
        <v>536</v>
      </c>
      <c r="B265" s="11" t="s">
        <v>537</v>
      </c>
      <c r="C265" s="139" t="s">
        <v>538</v>
      </c>
      <c r="D265" s="140"/>
      <c r="E265" s="11" t="s">
        <v>102</v>
      </c>
      <c r="F265" s="12">
        <v>11</v>
      </c>
      <c r="G265" s="12">
        <v>22.57</v>
      </c>
      <c r="H265" s="12">
        <v>28.8</v>
      </c>
      <c r="I265" s="13">
        <f t="shared" si="22"/>
        <v>248.27</v>
      </c>
      <c r="J265" s="13">
        <f t="shared" si="23"/>
        <v>316.8</v>
      </c>
    </row>
    <row r="266" spans="1:10" s="1" customFormat="1" ht="25.5" customHeight="1" x14ac:dyDescent="0.2">
      <c r="A266" s="10">
        <v>94796</v>
      </c>
      <c r="B266" s="11" t="s">
        <v>539</v>
      </c>
      <c r="C266" s="139" t="s">
        <v>540</v>
      </c>
      <c r="D266" s="140"/>
      <c r="E266" s="11" t="s">
        <v>102</v>
      </c>
      <c r="F266" s="12">
        <v>1</v>
      </c>
      <c r="G266" s="12">
        <v>26.75</v>
      </c>
      <c r="H266" s="12">
        <v>34.130000000000003</v>
      </c>
      <c r="I266" s="13">
        <f t="shared" si="22"/>
        <v>26.75</v>
      </c>
      <c r="J266" s="13">
        <f t="shared" si="23"/>
        <v>34.130000000000003</v>
      </c>
    </row>
    <row r="267" spans="1:10" s="1" customFormat="1" ht="25.5" customHeight="1" x14ac:dyDescent="0.2">
      <c r="A267" s="10">
        <v>89985</v>
      </c>
      <c r="B267" s="11" t="s">
        <v>541</v>
      </c>
      <c r="C267" s="139" t="s">
        <v>542</v>
      </c>
      <c r="D267" s="140"/>
      <c r="E267" s="11" t="s">
        <v>102</v>
      </c>
      <c r="F267" s="12">
        <v>19</v>
      </c>
      <c r="G267" s="12">
        <v>61.1</v>
      </c>
      <c r="H267" s="12">
        <v>77.959999999999994</v>
      </c>
      <c r="I267" s="13">
        <f t="shared" si="22"/>
        <v>1160.9000000000001</v>
      </c>
      <c r="J267" s="13">
        <f t="shared" si="23"/>
        <v>1481.2399999999998</v>
      </c>
    </row>
    <row r="268" spans="1:10" s="1" customFormat="1" ht="25.5" customHeight="1" x14ac:dyDescent="0.2">
      <c r="A268" s="10">
        <v>89351</v>
      </c>
      <c r="B268" s="11" t="s">
        <v>543</v>
      </c>
      <c r="C268" s="139" t="s">
        <v>544</v>
      </c>
      <c r="D268" s="140"/>
      <c r="E268" s="11" t="s">
        <v>102</v>
      </c>
      <c r="F268" s="12">
        <v>5</v>
      </c>
      <c r="G268" s="12">
        <v>24.75</v>
      </c>
      <c r="H268" s="12">
        <v>31.58</v>
      </c>
      <c r="I268" s="13">
        <f t="shared" si="22"/>
        <v>123.75</v>
      </c>
      <c r="J268" s="13">
        <f t="shared" si="23"/>
        <v>157.89999999999998</v>
      </c>
    </row>
    <row r="269" spans="1:10" s="1" customFormat="1" ht="25.5" customHeight="1" x14ac:dyDescent="0.2">
      <c r="A269" s="11" t="s">
        <v>545</v>
      </c>
      <c r="B269" s="11" t="s">
        <v>546</v>
      </c>
      <c r="C269" s="139" t="s">
        <v>547</v>
      </c>
      <c r="D269" s="140"/>
      <c r="E269" s="11" t="s">
        <v>102</v>
      </c>
      <c r="F269" s="12">
        <v>8</v>
      </c>
      <c r="G269" s="12">
        <v>40.06</v>
      </c>
      <c r="H269" s="12">
        <v>51.11</v>
      </c>
      <c r="I269" s="13">
        <f t="shared" si="22"/>
        <v>320.48</v>
      </c>
      <c r="J269" s="13">
        <f t="shared" si="23"/>
        <v>408.88</v>
      </c>
    </row>
    <row r="270" spans="1:10" s="1" customFormat="1" ht="25.5" customHeight="1" x14ac:dyDescent="0.2">
      <c r="A270" s="11" t="s">
        <v>548</v>
      </c>
      <c r="B270" s="11" t="s">
        <v>549</v>
      </c>
      <c r="C270" s="139" t="s">
        <v>550</v>
      </c>
      <c r="D270" s="140"/>
      <c r="E270" s="11" t="s">
        <v>102</v>
      </c>
      <c r="F270" s="12">
        <v>6</v>
      </c>
      <c r="G270" s="12">
        <v>71.88</v>
      </c>
      <c r="H270" s="12">
        <v>91.72</v>
      </c>
      <c r="I270" s="13">
        <f t="shared" si="22"/>
        <v>431.28</v>
      </c>
      <c r="J270" s="13">
        <f t="shared" si="23"/>
        <v>550.31999999999994</v>
      </c>
    </row>
    <row r="271" spans="1:10" s="1" customFormat="1" ht="25.5" customHeight="1" x14ac:dyDescent="0.2">
      <c r="A271" s="11" t="s">
        <v>551</v>
      </c>
      <c r="B271" s="11" t="s">
        <v>552</v>
      </c>
      <c r="C271" s="139" t="s">
        <v>553</v>
      </c>
      <c r="D271" s="140"/>
      <c r="E271" s="11" t="s">
        <v>102</v>
      </c>
      <c r="F271" s="12">
        <v>5</v>
      </c>
      <c r="G271" s="12">
        <v>267.62</v>
      </c>
      <c r="H271" s="12">
        <v>341.45</v>
      </c>
      <c r="I271" s="13">
        <f t="shared" si="22"/>
        <v>1338.1</v>
      </c>
      <c r="J271" s="13">
        <f t="shared" si="23"/>
        <v>1707.25</v>
      </c>
    </row>
    <row r="272" spans="1:10" s="1" customFormat="1" ht="25.5" customHeight="1" x14ac:dyDescent="0.2">
      <c r="A272" s="10">
        <v>89987</v>
      </c>
      <c r="B272" s="11" t="s">
        <v>554</v>
      </c>
      <c r="C272" s="139" t="s">
        <v>555</v>
      </c>
      <c r="D272" s="140"/>
      <c r="E272" s="11" t="s">
        <v>102</v>
      </c>
      <c r="F272" s="12">
        <v>39</v>
      </c>
      <c r="G272" s="12">
        <v>64.260000000000005</v>
      </c>
      <c r="H272" s="12">
        <v>81.99</v>
      </c>
      <c r="I272" s="13">
        <f t="shared" si="22"/>
        <v>2506.1400000000003</v>
      </c>
      <c r="J272" s="13">
        <f t="shared" si="23"/>
        <v>3197.6099999999997</v>
      </c>
    </row>
    <row r="273" spans="1:10" s="1" customFormat="1" ht="25.5" customHeight="1" x14ac:dyDescent="0.2">
      <c r="A273" s="10">
        <v>94792</v>
      </c>
      <c r="B273" s="11" t="s">
        <v>556</v>
      </c>
      <c r="C273" s="139" t="s">
        <v>557</v>
      </c>
      <c r="D273" s="140"/>
      <c r="E273" s="11" t="s">
        <v>102</v>
      </c>
      <c r="F273" s="12">
        <v>10</v>
      </c>
      <c r="G273" s="12">
        <v>92.77</v>
      </c>
      <c r="H273" s="12">
        <v>118.37</v>
      </c>
      <c r="I273" s="13">
        <f t="shared" si="22"/>
        <v>927.69999999999993</v>
      </c>
      <c r="J273" s="13">
        <f t="shared" si="23"/>
        <v>1183.7</v>
      </c>
    </row>
    <row r="274" spans="1:10" s="1" customFormat="1" ht="25.5" customHeight="1" x14ac:dyDescent="0.2">
      <c r="A274" s="10">
        <v>94794</v>
      </c>
      <c r="B274" s="11" t="s">
        <v>558</v>
      </c>
      <c r="C274" s="139" t="s">
        <v>559</v>
      </c>
      <c r="D274" s="140"/>
      <c r="E274" s="11" t="s">
        <v>102</v>
      </c>
      <c r="F274" s="12">
        <v>12</v>
      </c>
      <c r="G274" s="12">
        <v>124.23</v>
      </c>
      <c r="H274" s="12">
        <v>158.5</v>
      </c>
      <c r="I274" s="13">
        <f t="shared" si="22"/>
        <v>1490.76</v>
      </c>
      <c r="J274" s="13">
        <f t="shared" si="23"/>
        <v>1902</v>
      </c>
    </row>
    <row r="275" spans="1:10" s="1" customFormat="1" ht="25.5" customHeight="1" x14ac:dyDescent="0.2">
      <c r="A275" s="11" t="s">
        <v>78</v>
      </c>
      <c r="B275" s="11" t="s">
        <v>560</v>
      </c>
      <c r="C275" s="139" t="s">
        <v>561</v>
      </c>
      <c r="D275" s="140"/>
      <c r="E275" s="11" t="s">
        <v>102</v>
      </c>
      <c r="F275" s="12">
        <v>11</v>
      </c>
      <c r="G275" s="12">
        <v>20.3</v>
      </c>
      <c r="H275" s="12">
        <v>25.91</v>
      </c>
      <c r="I275" s="13">
        <f t="shared" si="22"/>
        <v>223.3</v>
      </c>
      <c r="J275" s="13">
        <f t="shared" si="23"/>
        <v>285.01</v>
      </c>
    </row>
    <row r="276" spans="1:10" s="1" customFormat="1" ht="25.5" customHeight="1" x14ac:dyDescent="0.2">
      <c r="A276" s="11" t="s">
        <v>78</v>
      </c>
      <c r="B276" s="11" t="s">
        <v>562</v>
      </c>
      <c r="C276" s="139" t="s">
        <v>563</v>
      </c>
      <c r="D276" s="140"/>
      <c r="E276" s="11" t="s">
        <v>102</v>
      </c>
      <c r="F276" s="12">
        <v>7</v>
      </c>
      <c r="G276" s="12">
        <v>25.99</v>
      </c>
      <c r="H276" s="12">
        <v>33.159999999999997</v>
      </c>
      <c r="I276" s="13">
        <f t="shared" si="22"/>
        <v>181.92999999999998</v>
      </c>
      <c r="J276" s="13">
        <f t="shared" si="23"/>
        <v>232.11999999999998</v>
      </c>
    </row>
    <row r="277" spans="1:10" s="1" customFormat="1" ht="25.5" customHeight="1" x14ac:dyDescent="0.2">
      <c r="A277" s="10">
        <v>9535</v>
      </c>
      <c r="B277" s="11" t="s">
        <v>564</v>
      </c>
      <c r="C277" s="139" t="s">
        <v>565</v>
      </c>
      <c r="D277" s="140"/>
      <c r="E277" s="11" t="s">
        <v>102</v>
      </c>
      <c r="F277" s="12">
        <v>12</v>
      </c>
      <c r="G277" s="12">
        <v>56.12</v>
      </c>
      <c r="H277" s="12">
        <v>71.599999999999994</v>
      </c>
      <c r="I277" s="13">
        <f t="shared" si="22"/>
        <v>673.43999999999994</v>
      </c>
      <c r="J277" s="13">
        <f t="shared" si="23"/>
        <v>859.19999999999993</v>
      </c>
    </row>
    <row r="278" spans="1:10" s="1" customFormat="1" ht="25.5" customHeight="1" x14ac:dyDescent="0.2">
      <c r="A278" s="11" t="s">
        <v>308</v>
      </c>
      <c r="B278" s="11" t="s">
        <v>566</v>
      </c>
      <c r="C278" s="139" t="s">
        <v>567</v>
      </c>
      <c r="D278" s="140"/>
      <c r="E278" s="11" t="s">
        <v>102</v>
      </c>
      <c r="F278" s="12">
        <v>4</v>
      </c>
      <c r="G278" s="12">
        <v>40.85</v>
      </c>
      <c r="H278" s="12">
        <v>52.12</v>
      </c>
      <c r="I278" s="13">
        <f t="shared" si="22"/>
        <v>163.4</v>
      </c>
      <c r="J278" s="13">
        <f t="shared" si="23"/>
        <v>208.48</v>
      </c>
    </row>
    <row r="279" spans="1:10" s="1" customFormat="1" ht="25.5" customHeight="1" x14ac:dyDescent="0.2">
      <c r="A279" s="10">
        <v>9535</v>
      </c>
      <c r="B279" s="11" t="s">
        <v>568</v>
      </c>
      <c r="C279" s="139" t="s">
        <v>569</v>
      </c>
      <c r="D279" s="140"/>
      <c r="E279" s="11" t="s">
        <v>102</v>
      </c>
      <c r="F279" s="12">
        <v>4</v>
      </c>
      <c r="G279" s="12">
        <v>56.21</v>
      </c>
      <c r="H279" s="12">
        <v>71.709999999999994</v>
      </c>
      <c r="I279" s="13">
        <f t="shared" si="22"/>
        <v>224.84</v>
      </c>
      <c r="J279" s="13">
        <f t="shared" si="23"/>
        <v>286.83999999999997</v>
      </c>
    </row>
    <row r="280" spans="1:10" s="1" customFormat="1" ht="25.5" customHeight="1" x14ac:dyDescent="0.2">
      <c r="A280" s="11" t="s">
        <v>78</v>
      </c>
      <c r="B280" s="11" t="s">
        <v>570</v>
      </c>
      <c r="C280" s="139" t="s">
        <v>571</v>
      </c>
      <c r="D280" s="140"/>
      <c r="E280" s="11" t="s">
        <v>102</v>
      </c>
      <c r="F280" s="12">
        <v>5</v>
      </c>
      <c r="G280" s="12">
        <v>132.01</v>
      </c>
      <c r="H280" s="12">
        <v>168.43</v>
      </c>
      <c r="I280" s="13">
        <f t="shared" si="22"/>
        <v>660.05</v>
      </c>
      <c r="J280" s="13">
        <f t="shared" si="23"/>
        <v>842.15000000000009</v>
      </c>
    </row>
    <row r="281" spans="1:10" s="1" customFormat="1" ht="25.5" customHeight="1" x14ac:dyDescent="0.2">
      <c r="A281" s="10">
        <v>40729</v>
      </c>
      <c r="B281" s="11" t="s">
        <v>572</v>
      </c>
      <c r="C281" s="139" t="s">
        <v>573</v>
      </c>
      <c r="D281" s="140"/>
      <c r="E281" s="11" t="s">
        <v>102</v>
      </c>
      <c r="F281" s="12">
        <v>23</v>
      </c>
      <c r="G281" s="12">
        <v>218.15</v>
      </c>
      <c r="H281" s="12">
        <v>278.33999999999997</v>
      </c>
      <c r="I281" s="13">
        <f t="shared" si="22"/>
        <v>5017.45</v>
      </c>
      <c r="J281" s="13">
        <f t="shared" si="23"/>
        <v>6401.82</v>
      </c>
    </row>
    <row r="282" spans="1:10" s="1" customFormat="1" ht="25.5" customHeight="1" x14ac:dyDescent="0.2">
      <c r="A282" s="11" t="s">
        <v>308</v>
      </c>
      <c r="B282" s="11" t="s">
        <v>574</v>
      </c>
      <c r="C282" s="139" t="s">
        <v>575</v>
      </c>
      <c r="D282" s="140"/>
      <c r="E282" s="11" t="s">
        <v>102</v>
      </c>
      <c r="F282" s="12">
        <v>1</v>
      </c>
      <c r="G282" s="13">
        <v>5800</v>
      </c>
      <c r="H282" s="13">
        <v>7400.22</v>
      </c>
      <c r="I282" s="13">
        <f t="shared" si="22"/>
        <v>5800</v>
      </c>
      <c r="J282" s="13">
        <f t="shared" si="23"/>
        <v>7400.22</v>
      </c>
    </row>
    <row r="283" spans="1:10" s="1" customFormat="1" ht="25.5" customHeight="1" x14ac:dyDescent="0.2">
      <c r="A283" s="11" t="s">
        <v>308</v>
      </c>
      <c r="B283" s="11" t="s">
        <v>576</v>
      </c>
      <c r="C283" s="139" t="s">
        <v>577</v>
      </c>
      <c r="D283" s="140"/>
      <c r="E283" s="11" t="s">
        <v>102</v>
      </c>
      <c r="F283" s="12">
        <v>23</v>
      </c>
      <c r="G283" s="12">
        <v>7.69</v>
      </c>
      <c r="H283" s="12">
        <v>9.81</v>
      </c>
      <c r="I283" s="13">
        <f t="shared" si="22"/>
        <v>176.87</v>
      </c>
      <c r="J283" s="13">
        <f t="shared" si="23"/>
        <v>225.63000000000002</v>
      </c>
    </row>
    <row r="284" spans="1:10" s="1" customFormat="1" ht="25.5" customHeight="1" x14ac:dyDescent="0.2">
      <c r="A284" s="11" t="s">
        <v>578</v>
      </c>
      <c r="B284" s="11" t="s">
        <v>579</v>
      </c>
      <c r="C284" s="139" t="s">
        <v>580</v>
      </c>
      <c r="D284" s="140"/>
      <c r="E284" s="11" t="s">
        <v>102</v>
      </c>
      <c r="F284" s="12">
        <v>1</v>
      </c>
      <c r="G284" s="12">
        <v>7.69</v>
      </c>
      <c r="H284" s="12">
        <v>9.81</v>
      </c>
      <c r="I284" s="13">
        <f t="shared" si="22"/>
        <v>7.69</v>
      </c>
      <c r="J284" s="13">
        <f t="shared" si="23"/>
        <v>9.81</v>
      </c>
    </row>
    <row r="285" spans="1:10" s="1" customFormat="1" ht="25.5" customHeight="1" x14ac:dyDescent="0.2">
      <c r="A285" s="11" t="s">
        <v>581</v>
      </c>
      <c r="B285" s="11" t="s">
        <v>582</v>
      </c>
      <c r="C285" s="139" t="s">
        <v>583</v>
      </c>
      <c r="D285" s="140"/>
      <c r="E285" s="11" t="s">
        <v>102</v>
      </c>
      <c r="F285" s="12">
        <v>1</v>
      </c>
      <c r="G285" s="12">
        <v>44.58</v>
      </c>
      <c r="H285" s="12">
        <v>56.88</v>
      </c>
      <c r="I285" s="13">
        <f t="shared" si="22"/>
        <v>44.58</v>
      </c>
      <c r="J285" s="13">
        <f t="shared" si="23"/>
        <v>56.88</v>
      </c>
    </row>
    <row r="286" spans="1:10" s="1" customFormat="1" ht="25.5" customHeight="1" x14ac:dyDescent="0.2">
      <c r="A286" s="11" t="s">
        <v>584</v>
      </c>
      <c r="B286" s="11" t="s">
        <v>585</v>
      </c>
      <c r="C286" s="139" t="s">
        <v>586</v>
      </c>
      <c r="D286" s="140"/>
      <c r="E286" s="11" t="s">
        <v>102</v>
      </c>
      <c r="F286" s="12">
        <v>9</v>
      </c>
      <c r="G286" s="12">
        <v>95.78</v>
      </c>
      <c r="H286" s="12">
        <v>122.2</v>
      </c>
      <c r="I286" s="13">
        <f t="shared" si="22"/>
        <v>862.02</v>
      </c>
      <c r="J286" s="13">
        <f t="shared" si="23"/>
        <v>1099.8</v>
      </c>
    </row>
    <row r="287" spans="1:10" s="1" customFormat="1" ht="25.5" customHeight="1" x14ac:dyDescent="0.2">
      <c r="A287" s="11" t="s">
        <v>78</v>
      </c>
      <c r="B287" s="11" t="s">
        <v>587</v>
      </c>
      <c r="C287" s="139" t="s">
        <v>588</v>
      </c>
      <c r="D287" s="140"/>
      <c r="E287" s="11" t="s">
        <v>102</v>
      </c>
      <c r="F287" s="12">
        <v>1</v>
      </c>
      <c r="G287" s="13">
        <v>1067.05</v>
      </c>
      <c r="H287" s="13">
        <v>1361.45</v>
      </c>
      <c r="I287" s="13">
        <f t="shared" si="22"/>
        <v>1067.05</v>
      </c>
      <c r="J287" s="13">
        <f t="shared" si="23"/>
        <v>1361.45</v>
      </c>
    </row>
    <row r="288" spans="1:10" s="1" customFormat="1" ht="25.5" customHeight="1" x14ac:dyDescent="0.2">
      <c r="A288" s="11" t="s">
        <v>308</v>
      </c>
      <c r="B288" s="11" t="s">
        <v>589</v>
      </c>
      <c r="C288" s="139" t="s">
        <v>590</v>
      </c>
      <c r="D288" s="140"/>
      <c r="E288" s="11" t="s">
        <v>102</v>
      </c>
      <c r="F288" s="12">
        <v>9</v>
      </c>
      <c r="G288" s="12">
        <v>49.99</v>
      </c>
      <c r="H288" s="12">
        <v>63.78</v>
      </c>
      <c r="I288" s="13">
        <f t="shared" si="22"/>
        <v>449.91</v>
      </c>
      <c r="J288" s="13">
        <f t="shared" si="23"/>
        <v>574.02</v>
      </c>
    </row>
    <row r="289" spans="1:11" s="1" customFormat="1" ht="25.5" customHeight="1" x14ac:dyDescent="0.2">
      <c r="A289" s="11" t="s">
        <v>308</v>
      </c>
      <c r="B289" s="11" t="s">
        <v>591</v>
      </c>
      <c r="C289" s="139" t="s">
        <v>592</v>
      </c>
      <c r="D289" s="140"/>
      <c r="E289" s="11" t="s">
        <v>102</v>
      </c>
      <c r="F289" s="12">
        <v>2</v>
      </c>
      <c r="G289" s="12">
        <v>205.99</v>
      </c>
      <c r="H289" s="12">
        <v>262.82</v>
      </c>
      <c r="I289" s="13">
        <f t="shared" si="22"/>
        <v>411.98</v>
      </c>
      <c r="J289" s="13">
        <f t="shared" si="23"/>
        <v>525.64</v>
      </c>
    </row>
    <row r="290" spans="1:11" s="1" customFormat="1" ht="25.5" customHeight="1" x14ac:dyDescent="0.2">
      <c r="A290" s="11" t="s">
        <v>308</v>
      </c>
      <c r="B290" s="11" t="s">
        <v>593</v>
      </c>
      <c r="C290" s="139" t="s">
        <v>594</v>
      </c>
      <c r="D290" s="140"/>
      <c r="E290" s="11" t="s">
        <v>102</v>
      </c>
      <c r="F290" s="12">
        <v>6</v>
      </c>
      <c r="G290" s="12">
        <v>0.17</v>
      </c>
      <c r="H290" s="12">
        <v>0.22</v>
      </c>
      <c r="I290" s="13">
        <f t="shared" si="22"/>
        <v>1.02</v>
      </c>
      <c r="J290" s="13">
        <f t="shared" si="23"/>
        <v>1.32</v>
      </c>
    </row>
    <row r="291" spans="1:11" s="1" customFormat="1" ht="25.5" customHeight="1" x14ac:dyDescent="0.2">
      <c r="A291" s="11" t="s">
        <v>308</v>
      </c>
      <c r="B291" s="11" t="s">
        <v>595</v>
      </c>
      <c r="C291" s="139" t="s">
        <v>596</v>
      </c>
      <c r="D291" s="140"/>
      <c r="E291" s="11" t="s">
        <v>102</v>
      </c>
      <c r="F291" s="12">
        <v>13</v>
      </c>
      <c r="G291" s="12">
        <v>0.25</v>
      </c>
      <c r="H291" s="12">
        <v>0.32</v>
      </c>
      <c r="I291" s="13">
        <f t="shared" si="22"/>
        <v>3.25</v>
      </c>
      <c r="J291" s="13">
        <f t="shared" si="23"/>
        <v>4.16</v>
      </c>
    </row>
    <row r="292" spans="1:11" s="1" customFormat="1" ht="25.5" customHeight="1" x14ac:dyDescent="0.2">
      <c r="A292" s="11" t="s">
        <v>308</v>
      </c>
      <c r="B292" s="11" t="s">
        <v>597</v>
      </c>
      <c r="C292" s="139" t="s">
        <v>598</v>
      </c>
      <c r="D292" s="140"/>
      <c r="E292" s="11" t="s">
        <v>102</v>
      </c>
      <c r="F292" s="12">
        <v>13</v>
      </c>
      <c r="G292" s="12">
        <v>0.54</v>
      </c>
      <c r="H292" s="12">
        <v>0.69</v>
      </c>
      <c r="I292" s="13">
        <f t="shared" si="22"/>
        <v>7.0200000000000005</v>
      </c>
      <c r="J292" s="13">
        <f t="shared" si="23"/>
        <v>8.9699999999999989</v>
      </c>
    </row>
    <row r="293" spans="1:11" s="1" customFormat="1" ht="25.5" customHeight="1" x14ac:dyDescent="0.2">
      <c r="A293" s="11" t="s">
        <v>308</v>
      </c>
      <c r="B293" s="11" t="s">
        <v>599</v>
      </c>
      <c r="C293" s="139" t="s">
        <v>600</v>
      </c>
      <c r="D293" s="140"/>
      <c r="E293" s="11" t="s">
        <v>102</v>
      </c>
      <c r="F293" s="12">
        <v>20</v>
      </c>
      <c r="G293" s="12">
        <v>0.62</v>
      </c>
      <c r="H293" s="12">
        <v>0.79</v>
      </c>
      <c r="I293" s="13">
        <f t="shared" si="22"/>
        <v>12.4</v>
      </c>
      <c r="J293" s="13">
        <f t="shared" si="23"/>
        <v>15.8</v>
      </c>
    </row>
    <row r="294" spans="1:11" s="1" customFormat="1" ht="25.5" customHeight="1" x14ac:dyDescent="0.2">
      <c r="A294" s="11" t="s">
        <v>308</v>
      </c>
      <c r="B294" s="11" t="s">
        <v>601</v>
      </c>
      <c r="C294" s="139" t="s">
        <v>602</v>
      </c>
      <c r="D294" s="140"/>
      <c r="E294" s="11" t="s">
        <v>102</v>
      </c>
      <c r="F294" s="12">
        <v>8</v>
      </c>
      <c r="G294" s="12">
        <v>1.95</v>
      </c>
      <c r="H294" s="12">
        <v>2.4900000000000002</v>
      </c>
      <c r="I294" s="13">
        <f t="shared" si="22"/>
        <v>15.6</v>
      </c>
      <c r="J294" s="13">
        <f t="shared" si="23"/>
        <v>19.920000000000002</v>
      </c>
    </row>
    <row r="295" spans="1:11" s="1" customFormat="1" ht="25.5" customHeight="1" x14ac:dyDescent="0.2">
      <c r="A295" s="10">
        <v>95547</v>
      </c>
      <c r="B295" s="11" t="s">
        <v>603</v>
      </c>
      <c r="C295" s="139" t="s">
        <v>604</v>
      </c>
      <c r="D295" s="140"/>
      <c r="E295" s="11" t="s">
        <v>102</v>
      </c>
      <c r="F295" s="12">
        <v>32</v>
      </c>
      <c r="G295" s="12">
        <v>48.53</v>
      </c>
      <c r="H295" s="12">
        <v>61.92</v>
      </c>
      <c r="I295" s="13">
        <f t="shared" si="22"/>
        <v>1552.96</v>
      </c>
      <c r="J295" s="13">
        <f t="shared" si="23"/>
        <v>1981.44</v>
      </c>
    </row>
    <row r="296" spans="1:11" s="1" customFormat="1" ht="25.5" customHeight="1" x14ac:dyDescent="0.2">
      <c r="A296" s="10">
        <v>95542</v>
      </c>
      <c r="B296" s="11" t="s">
        <v>605</v>
      </c>
      <c r="C296" s="139" t="s">
        <v>606</v>
      </c>
      <c r="D296" s="140"/>
      <c r="E296" s="11" t="s">
        <v>102</v>
      </c>
      <c r="F296" s="12">
        <v>30</v>
      </c>
      <c r="G296" s="12">
        <v>16.57</v>
      </c>
      <c r="H296" s="12">
        <v>21.14</v>
      </c>
      <c r="I296" s="13">
        <f t="shared" si="22"/>
        <v>497.1</v>
      </c>
      <c r="J296" s="13">
        <f t="shared" si="23"/>
        <v>634.20000000000005</v>
      </c>
    </row>
    <row r="297" spans="1:11" s="1" customFormat="1" ht="25.5" customHeight="1" x14ac:dyDescent="0.2">
      <c r="A297" s="11" t="s">
        <v>607</v>
      </c>
      <c r="B297" s="11" t="s">
        <v>608</v>
      </c>
      <c r="C297" s="139" t="s">
        <v>609</v>
      </c>
      <c r="D297" s="140"/>
      <c r="E297" s="11" t="s">
        <v>102</v>
      </c>
      <c r="F297" s="12">
        <v>23</v>
      </c>
      <c r="G297" s="12">
        <v>37.58</v>
      </c>
      <c r="H297" s="12">
        <v>47.94</v>
      </c>
      <c r="I297" s="13">
        <f t="shared" si="22"/>
        <v>864.33999999999992</v>
      </c>
      <c r="J297" s="13">
        <f t="shared" si="23"/>
        <v>1102.6199999999999</v>
      </c>
    </row>
    <row r="298" spans="1:11" s="1" customFormat="1" ht="25.5" customHeight="1" x14ac:dyDescent="0.2">
      <c r="A298" s="11" t="s">
        <v>610</v>
      </c>
      <c r="B298" s="11" t="s">
        <v>611</v>
      </c>
      <c r="C298" s="139" t="s">
        <v>612</v>
      </c>
      <c r="D298" s="140"/>
      <c r="E298" s="11" t="s">
        <v>102</v>
      </c>
      <c r="F298" s="12">
        <v>17</v>
      </c>
      <c r="G298" s="12">
        <v>30.88</v>
      </c>
      <c r="H298" s="12">
        <v>39.4</v>
      </c>
      <c r="I298" s="13">
        <f t="shared" si="22"/>
        <v>524.96</v>
      </c>
      <c r="J298" s="13">
        <f t="shared" si="23"/>
        <v>669.8</v>
      </c>
    </row>
    <row r="299" spans="1:11" s="1" customFormat="1" ht="25.5" customHeight="1" x14ac:dyDescent="0.2">
      <c r="A299" s="8"/>
      <c r="B299" s="149" t="s">
        <v>613</v>
      </c>
      <c r="C299" s="150"/>
      <c r="D299" s="150"/>
      <c r="E299" s="150"/>
      <c r="F299" s="150"/>
      <c r="G299" s="151"/>
      <c r="H299" s="8"/>
      <c r="I299" s="14">
        <f>SUM(I245:I298)-0.18</f>
        <v>42951.259999999995</v>
      </c>
      <c r="J299" s="15">
        <f>SUM(J245:J298)-0.23</f>
        <v>54801.520000000004</v>
      </c>
      <c r="K299" s="49"/>
    </row>
    <row r="300" spans="1:11" s="1" customFormat="1" ht="25.5" customHeight="1" x14ac:dyDescent="0.2">
      <c r="A300" s="8"/>
      <c r="B300" s="9" t="s">
        <v>614</v>
      </c>
      <c r="C300" s="137" t="s">
        <v>615</v>
      </c>
      <c r="D300" s="138"/>
      <c r="E300" s="8"/>
      <c r="F300" s="8"/>
      <c r="G300" s="8"/>
      <c r="H300" s="8"/>
      <c r="I300" s="8"/>
      <c r="J300" s="8"/>
    </row>
    <row r="301" spans="1:11" s="1" customFormat="1" ht="25.5" customHeight="1" x14ac:dyDescent="0.2">
      <c r="A301" s="11" t="s">
        <v>78</v>
      </c>
      <c r="B301" s="11" t="s">
        <v>616</v>
      </c>
      <c r="C301" s="139" t="s">
        <v>617</v>
      </c>
      <c r="D301" s="140"/>
      <c r="E301" s="11" t="s">
        <v>102</v>
      </c>
      <c r="F301" s="12">
        <v>2</v>
      </c>
      <c r="G301" s="13">
        <v>1100.49</v>
      </c>
      <c r="H301" s="13">
        <v>1404.12</v>
      </c>
      <c r="I301" s="13">
        <f>F301*G301</f>
        <v>2200.98</v>
      </c>
      <c r="J301" s="13">
        <f>F301*H301</f>
        <v>2808.24</v>
      </c>
    </row>
    <row r="302" spans="1:11" s="1" customFormat="1" ht="25.5" customHeight="1" x14ac:dyDescent="0.2">
      <c r="A302" s="11" t="s">
        <v>308</v>
      </c>
      <c r="B302" s="11" t="s">
        <v>618</v>
      </c>
      <c r="C302" s="139" t="s">
        <v>619</v>
      </c>
      <c r="D302" s="140"/>
      <c r="E302" s="11" t="s">
        <v>102</v>
      </c>
      <c r="F302" s="12">
        <v>1</v>
      </c>
      <c r="G302" s="12">
        <v>33</v>
      </c>
      <c r="H302" s="12">
        <v>42.1</v>
      </c>
      <c r="I302" s="13">
        <f>F302*G302</f>
        <v>33</v>
      </c>
      <c r="J302" s="13">
        <f>F302*H302</f>
        <v>42.1</v>
      </c>
    </row>
    <row r="303" spans="1:11" s="1" customFormat="1" ht="25.5" customHeight="1" x14ac:dyDescent="0.2">
      <c r="A303" s="11" t="s">
        <v>308</v>
      </c>
      <c r="B303" s="11" t="s">
        <v>620</v>
      </c>
      <c r="C303" s="139" t="s">
        <v>621</v>
      </c>
      <c r="D303" s="140"/>
      <c r="E303" s="11" t="s">
        <v>102</v>
      </c>
      <c r="F303" s="12">
        <v>2</v>
      </c>
      <c r="G303" s="12">
        <v>36.5</v>
      </c>
      <c r="H303" s="12">
        <v>46.57</v>
      </c>
      <c r="I303" s="13">
        <f>F303*G303</f>
        <v>73</v>
      </c>
      <c r="J303" s="13">
        <f>F303*H303</f>
        <v>93.14</v>
      </c>
    </row>
    <row r="304" spans="1:11" s="1" customFormat="1" ht="25.5" customHeight="1" x14ac:dyDescent="0.2">
      <c r="A304" s="8"/>
      <c r="B304" s="149" t="s">
        <v>622</v>
      </c>
      <c r="C304" s="150"/>
      <c r="D304" s="150"/>
      <c r="E304" s="150"/>
      <c r="F304" s="150"/>
      <c r="G304" s="151"/>
      <c r="H304" s="8"/>
      <c r="I304" s="14">
        <f>SUM(I301:I303)</f>
        <v>2306.98</v>
      </c>
      <c r="J304" s="15">
        <f>SUM(J301:J303)</f>
        <v>2943.4799999999996</v>
      </c>
    </row>
    <row r="305" spans="1:10" s="1" customFormat="1" ht="25.5" customHeight="1" x14ac:dyDescent="0.2">
      <c r="A305" s="8"/>
      <c r="B305" s="9" t="s">
        <v>623</v>
      </c>
      <c r="C305" s="137" t="s">
        <v>624</v>
      </c>
      <c r="D305" s="138"/>
      <c r="E305" s="8"/>
      <c r="F305" s="8"/>
      <c r="G305" s="8"/>
      <c r="H305" s="8"/>
      <c r="I305" s="8"/>
      <c r="J305" s="8"/>
    </row>
    <row r="306" spans="1:10" s="1" customFormat="1" ht="25.5" customHeight="1" x14ac:dyDescent="0.2">
      <c r="A306" s="8"/>
      <c r="B306" s="9" t="s">
        <v>625</v>
      </c>
      <c r="C306" s="137" t="s">
        <v>626</v>
      </c>
      <c r="D306" s="138"/>
      <c r="E306" s="8"/>
      <c r="F306" s="8"/>
      <c r="G306" s="8"/>
      <c r="H306" s="8"/>
      <c r="I306" s="8"/>
      <c r="J306" s="8"/>
    </row>
    <row r="307" spans="1:10" s="1" customFormat="1" ht="25.5" customHeight="1" x14ac:dyDescent="0.2">
      <c r="A307" s="10">
        <v>92688</v>
      </c>
      <c r="B307" s="21">
        <v>42736</v>
      </c>
      <c r="C307" s="139" t="s">
        <v>627</v>
      </c>
      <c r="D307" s="140"/>
      <c r="E307" s="11" t="s">
        <v>81</v>
      </c>
      <c r="F307" s="12">
        <v>18</v>
      </c>
      <c r="G307" s="12">
        <v>25.9</v>
      </c>
      <c r="H307" s="12">
        <v>33.049999999999997</v>
      </c>
      <c r="I307" s="13">
        <f>F307*G307</f>
        <v>466.2</v>
      </c>
      <c r="J307" s="13">
        <f>F307*H307</f>
        <v>594.9</v>
      </c>
    </row>
    <row r="308" spans="1:10" s="1" customFormat="1" ht="25.5" customHeight="1" x14ac:dyDescent="0.2">
      <c r="A308" s="10">
        <v>97535</v>
      </c>
      <c r="B308" s="21">
        <v>42737</v>
      </c>
      <c r="C308" s="139" t="s">
        <v>628</v>
      </c>
      <c r="D308" s="140"/>
      <c r="E308" s="11" t="s">
        <v>81</v>
      </c>
      <c r="F308" s="12">
        <v>24</v>
      </c>
      <c r="G308" s="12">
        <v>32.049999999999997</v>
      </c>
      <c r="H308" s="12">
        <v>40.89</v>
      </c>
      <c r="I308" s="13">
        <f>F308*G308</f>
        <v>769.19999999999993</v>
      </c>
      <c r="J308" s="13">
        <f>F308*H308</f>
        <v>981.36</v>
      </c>
    </row>
    <row r="309" spans="1:10" s="1" customFormat="1" ht="25.5" customHeight="1" x14ac:dyDescent="0.2">
      <c r="A309" s="10">
        <v>92653</v>
      </c>
      <c r="B309" s="21">
        <v>42738</v>
      </c>
      <c r="C309" s="139" t="s">
        <v>629</v>
      </c>
      <c r="D309" s="140"/>
      <c r="E309" s="11" t="s">
        <v>81</v>
      </c>
      <c r="F309" s="12">
        <v>36</v>
      </c>
      <c r="G309" s="12">
        <v>43.81</v>
      </c>
      <c r="H309" s="12">
        <v>55.9</v>
      </c>
      <c r="I309" s="13">
        <f>F309*G309</f>
        <v>1577.16</v>
      </c>
      <c r="J309" s="13">
        <f>F309*H309</f>
        <v>2012.3999999999999</v>
      </c>
    </row>
    <row r="310" spans="1:10" s="1" customFormat="1" ht="25.5" customHeight="1" x14ac:dyDescent="0.2">
      <c r="A310" s="10">
        <v>92656</v>
      </c>
      <c r="B310" s="21">
        <v>42739</v>
      </c>
      <c r="C310" s="139" t="s">
        <v>630</v>
      </c>
      <c r="D310" s="140"/>
      <c r="E310" s="11" t="s">
        <v>81</v>
      </c>
      <c r="F310" s="12">
        <v>12</v>
      </c>
      <c r="G310" s="12">
        <v>79.11</v>
      </c>
      <c r="H310" s="12">
        <v>100.94</v>
      </c>
      <c r="I310" s="13">
        <f>F310*G310</f>
        <v>949.31999999999994</v>
      </c>
      <c r="J310" s="13">
        <f>F310*H310</f>
        <v>1211.28</v>
      </c>
    </row>
    <row r="311" spans="1:10" s="1" customFormat="1" ht="25.5" customHeight="1" x14ac:dyDescent="0.2">
      <c r="A311" s="8"/>
      <c r="B311" s="9" t="s">
        <v>631</v>
      </c>
      <c r="C311" s="137" t="s">
        <v>632</v>
      </c>
      <c r="D311" s="138"/>
      <c r="E311" s="8"/>
      <c r="F311" s="8"/>
      <c r="G311" s="8"/>
      <c r="H311" s="8"/>
      <c r="I311" s="8"/>
      <c r="J311" s="8"/>
    </row>
    <row r="312" spans="1:10" s="1" customFormat="1" ht="25.5" customHeight="1" x14ac:dyDescent="0.2">
      <c r="A312" s="10">
        <v>92939</v>
      </c>
      <c r="B312" s="21">
        <v>42767</v>
      </c>
      <c r="C312" s="139" t="s">
        <v>633</v>
      </c>
      <c r="D312" s="140"/>
      <c r="E312" s="11" t="s">
        <v>102</v>
      </c>
      <c r="F312" s="12">
        <v>2</v>
      </c>
      <c r="G312" s="12">
        <v>17.52</v>
      </c>
      <c r="H312" s="12">
        <v>22.35</v>
      </c>
      <c r="I312" s="13">
        <f>F312*G312</f>
        <v>35.04</v>
      </c>
      <c r="J312" s="13">
        <f>F312*H312</f>
        <v>44.7</v>
      </c>
    </row>
    <row r="313" spans="1:10" s="1" customFormat="1" ht="25.5" customHeight="1" x14ac:dyDescent="0.2">
      <c r="A313" s="8"/>
      <c r="B313" s="9" t="s">
        <v>634</v>
      </c>
      <c r="C313" s="137" t="s">
        <v>635</v>
      </c>
      <c r="D313" s="138"/>
      <c r="E313" s="8"/>
      <c r="F313" s="8"/>
      <c r="G313" s="8"/>
      <c r="H313" s="8"/>
      <c r="I313" s="8"/>
      <c r="J313" s="8"/>
    </row>
    <row r="314" spans="1:10" s="1" customFormat="1" ht="25.5" customHeight="1" x14ac:dyDescent="0.2">
      <c r="A314" s="10">
        <v>92701</v>
      </c>
      <c r="B314" s="21">
        <v>42795</v>
      </c>
      <c r="C314" s="139" t="s">
        <v>636</v>
      </c>
      <c r="D314" s="140"/>
      <c r="E314" s="11" t="s">
        <v>102</v>
      </c>
      <c r="F314" s="12">
        <v>4</v>
      </c>
      <c r="G314" s="12">
        <v>21.04</v>
      </c>
      <c r="H314" s="12">
        <v>26.84</v>
      </c>
      <c r="I314" s="13">
        <f>F314*G314</f>
        <v>84.16</v>
      </c>
      <c r="J314" s="13">
        <f>F314*H314</f>
        <v>107.36</v>
      </c>
    </row>
    <row r="315" spans="1:10" s="1" customFormat="1" ht="25.5" customHeight="1" x14ac:dyDescent="0.2">
      <c r="A315" s="10">
        <v>92674</v>
      </c>
      <c r="B315" s="21">
        <v>42796</v>
      </c>
      <c r="C315" s="139" t="s">
        <v>637</v>
      </c>
      <c r="D315" s="140"/>
      <c r="E315" s="11" t="s">
        <v>102</v>
      </c>
      <c r="F315" s="12">
        <v>4</v>
      </c>
      <c r="G315" s="12">
        <v>34.25</v>
      </c>
      <c r="H315" s="12">
        <v>43.7</v>
      </c>
      <c r="I315" s="13">
        <f>F315*G315</f>
        <v>137</v>
      </c>
      <c r="J315" s="13">
        <f>F315*H315</f>
        <v>174.8</v>
      </c>
    </row>
    <row r="316" spans="1:10" s="1" customFormat="1" ht="25.5" customHeight="1" x14ac:dyDescent="0.2">
      <c r="A316" s="10">
        <v>92703</v>
      </c>
      <c r="B316" s="21">
        <v>42797</v>
      </c>
      <c r="C316" s="139" t="s">
        <v>638</v>
      </c>
      <c r="D316" s="140"/>
      <c r="E316" s="11" t="s">
        <v>102</v>
      </c>
      <c r="F316" s="12">
        <v>15</v>
      </c>
      <c r="G316" s="12">
        <v>33.51</v>
      </c>
      <c r="H316" s="12">
        <v>42.76</v>
      </c>
      <c r="I316" s="13">
        <f>F316*G316</f>
        <v>502.65</v>
      </c>
      <c r="J316" s="13">
        <f>F316*H316</f>
        <v>641.4</v>
      </c>
    </row>
    <row r="317" spans="1:10" s="1" customFormat="1" ht="25.5" customHeight="1" x14ac:dyDescent="0.2">
      <c r="A317" s="10">
        <v>92680</v>
      </c>
      <c r="B317" s="21">
        <v>42798</v>
      </c>
      <c r="C317" s="139" t="s">
        <v>639</v>
      </c>
      <c r="D317" s="140"/>
      <c r="E317" s="11" t="s">
        <v>102</v>
      </c>
      <c r="F317" s="12">
        <v>8</v>
      </c>
      <c r="G317" s="12">
        <v>87.03</v>
      </c>
      <c r="H317" s="12">
        <v>111.04</v>
      </c>
      <c r="I317" s="13">
        <f>F317*G317</f>
        <v>696.24</v>
      </c>
      <c r="J317" s="13">
        <f>F317*H317</f>
        <v>888.32</v>
      </c>
    </row>
    <row r="318" spans="1:10" s="1" customFormat="1" ht="25.5" customHeight="1" x14ac:dyDescent="0.2">
      <c r="A318" s="8"/>
      <c r="B318" s="9" t="s">
        <v>640</v>
      </c>
      <c r="C318" s="137" t="s">
        <v>641</v>
      </c>
      <c r="D318" s="138"/>
      <c r="E318" s="8"/>
      <c r="F318" s="8"/>
      <c r="G318" s="8"/>
      <c r="H318" s="8"/>
      <c r="I318" s="8"/>
      <c r="J318" s="8"/>
    </row>
    <row r="319" spans="1:10" s="1" customFormat="1" ht="25.5" customHeight="1" x14ac:dyDescent="0.2">
      <c r="A319" s="10">
        <v>92658</v>
      </c>
      <c r="B319" s="21">
        <v>42826</v>
      </c>
      <c r="C319" s="139" t="s">
        <v>642</v>
      </c>
      <c r="D319" s="140"/>
      <c r="E319" s="11" t="s">
        <v>102</v>
      </c>
      <c r="F319" s="12">
        <v>1</v>
      </c>
      <c r="G319" s="12">
        <v>17.47</v>
      </c>
      <c r="H319" s="12">
        <v>22.29</v>
      </c>
      <c r="I319" s="13">
        <f>F319*G319</f>
        <v>17.47</v>
      </c>
      <c r="J319" s="13">
        <f>F319*H319</f>
        <v>22.29</v>
      </c>
    </row>
    <row r="320" spans="1:10" s="1" customFormat="1" ht="25.5" customHeight="1" x14ac:dyDescent="0.2">
      <c r="A320" s="10">
        <v>92662</v>
      </c>
      <c r="B320" s="21">
        <v>42827</v>
      </c>
      <c r="C320" s="139" t="s">
        <v>643</v>
      </c>
      <c r="D320" s="140"/>
      <c r="E320" s="11" t="s">
        <v>102</v>
      </c>
      <c r="F320" s="12">
        <v>1</v>
      </c>
      <c r="G320" s="12">
        <v>23.58</v>
      </c>
      <c r="H320" s="12">
        <v>30.09</v>
      </c>
      <c r="I320" s="13">
        <f>F320*G320</f>
        <v>23.58</v>
      </c>
      <c r="J320" s="13">
        <f>F320*H320</f>
        <v>30.09</v>
      </c>
    </row>
    <row r="321" spans="1:10" s="1" customFormat="1" ht="25.5" customHeight="1" x14ac:dyDescent="0.2">
      <c r="A321" s="8"/>
      <c r="B321" s="9" t="s">
        <v>644</v>
      </c>
      <c r="C321" s="137" t="s">
        <v>450</v>
      </c>
      <c r="D321" s="138"/>
      <c r="E321" s="8"/>
      <c r="F321" s="8"/>
      <c r="G321" s="8"/>
      <c r="H321" s="8"/>
      <c r="I321" s="8"/>
      <c r="J321" s="8"/>
    </row>
    <row r="322" spans="1:10" s="1" customFormat="1" ht="25.5" customHeight="1" x14ac:dyDescent="0.2">
      <c r="A322" s="10">
        <v>92683</v>
      </c>
      <c r="B322" s="21">
        <v>42856</v>
      </c>
      <c r="C322" s="139" t="s">
        <v>645</v>
      </c>
      <c r="D322" s="140"/>
      <c r="E322" s="11" t="s">
        <v>102</v>
      </c>
      <c r="F322" s="12">
        <v>1</v>
      </c>
      <c r="G322" s="12">
        <v>45.08</v>
      </c>
      <c r="H322" s="12">
        <v>57.52</v>
      </c>
      <c r="I322" s="13">
        <f>F322*G322</f>
        <v>45.08</v>
      </c>
      <c r="J322" s="13">
        <f>F322*H322</f>
        <v>57.52</v>
      </c>
    </row>
    <row r="323" spans="1:10" s="1" customFormat="1" ht="25.5" customHeight="1" x14ac:dyDescent="0.2">
      <c r="A323" s="10">
        <v>92681</v>
      </c>
      <c r="B323" s="21">
        <v>42857</v>
      </c>
      <c r="C323" s="139" t="s">
        <v>646</v>
      </c>
      <c r="D323" s="140"/>
      <c r="E323" s="11" t="s">
        <v>102</v>
      </c>
      <c r="F323" s="12">
        <v>2</v>
      </c>
      <c r="G323" s="12">
        <v>32.270000000000003</v>
      </c>
      <c r="H323" s="12">
        <v>41.17</v>
      </c>
      <c r="I323" s="13">
        <f>F323*G323</f>
        <v>64.540000000000006</v>
      </c>
      <c r="J323" s="13">
        <f>F323*H323</f>
        <v>82.34</v>
      </c>
    </row>
    <row r="324" spans="1:10" s="1" customFormat="1" ht="25.5" customHeight="1" x14ac:dyDescent="0.2">
      <c r="A324" s="11" t="s">
        <v>78</v>
      </c>
      <c r="B324" s="21">
        <v>42858</v>
      </c>
      <c r="C324" s="139" t="s">
        <v>647</v>
      </c>
      <c r="D324" s="140"/>
      <c r="E324" s="11" t="s">
        <v>102</v>
      </c>
      <c r="F324" s="12">
        <v>1</v>
      </c>
      <c r="G324" s="12">
        <v>32.92</v>
      </c>
      <c r="H324" s="12">
        <v>42.01</v>
      </c>
      <c r="I324" s="13">
        <f>F324*G324</f>
        <v>32.92</v>
      </c>
      <c r="J324" s="13">
        <f>F324*H324</f>
        <v>42.01</v>
      </c>
    </row>
    <row r="325" spans="1:10" s="1" customFormat="1" ht="25.5" customHeight="1" x14ac:dyDescent="0.2">
      <c r="A325" s="8"/>
      <c r="B325" s="9" t="s">
        <v>648</v>
      </c>
      <c r="C325" s="137" t="s">
        <v>473</v>
      </c>
      <c r="D325" s="138"/>
      <c r="E325" s="8"/>
      <c r="F325" s="8"/>
      <c r="G325" s="8"/>
      <c r="H325" s="8"/>
      <c r="I325" s="8"/>
      <c r="J325" s="8"/>
    </row>
    <row r="326" spans="1:10" s="1" customFormat="1" ht="25.5" customHeight="1" x14ac:dyDescent="0.2">
      <c r="A326" s="10">
        <v>92898</v>
      </c>
      <c r="B326" s="21">
        <v>42887</v>
      </c>
      <c r="C326" s="139" t="s">
        <v>649</v>
      </c>
      <c r="D326" s="140"/>
      <c r="E326" s="11" t="s">
        <v>102</v>
      </c>
      <c r="F326" s="12">
        <v>4</v>
      </c>
      <c r="G326" s="12">
        <v>27.29</v>
      </c>
      <c r="H326" s="12">
        <v>34.82</v>
      </c>
      <c r="I326" s="13">
        <f>F326*G326</f>
        <v>109.16</v>
      </c>
      <c r="J326" s="13">
        <f>F326*H326</f>
        <v>139.28</v>
      </c>
    </row>
    <row r="327" spans="1:10" s="1" customFormat="1" ht="25.5" customHeight="1" x14ac:dyDescent="0.2">
      <c r="A327" s="10">
        <v>92900</v>
      </c>
      <c r="B327" s="21">
        <v>42888</v>
      </c>
      <c r="C327" s="139" t="s">
        <v>650</v>
      </c>
      <c r="D327" s="140"/>
      <c r="E327" s="11" t="s">
        <v>102</v>
      </c>
      <c r="F327" s="12">
        <v>2</v>
      </c>
      <c r="G327" s="12">
        <v>46.5</v>
      </c>
      <c r="H327" s="12">
        <v>59.33</v>
      </c>
      <c r="I327" s="13">
        <f>F327*G327</f>
        <v>93</v>
      </c>
      <c r="J327" s="13">
        <f>F327*H327</f>
        <v>118.66</v>
      </c>
    </row>
    <row r="328" spans="1:10" s="1" customFormat="1" ht="25.5" customHeight="1" x14ac:dyDescent="0.2">
      <c r="A328" s="8"/>
      <c r="B328" s="9" t="s">
        <v>651</v>
      </c>
      <c r="C328" s="137" t="s">
        <v>652</v>
      </c>
      <c r="D328" s="138"/>
      <c r="E328" s="8"/>
      <c r="F328" s="8"/>
      <c r="G328" s="8"/>
      <c r="H328" s="8"/>
      <c r="I328" s="8"/>
      <c r="J328" s="8"/>
    </row>
    <row r="329" spans="1:10" s="1" customFormat="1" ht="25.5" customHeight="1" x14ac:dyDescent="0.2">
      <c r="A329" s="11" t="s">
        <v>78</v>
      </c>
      <c r="B329" s="21">
        <v>42917</v>
      </c>
      <c r="C329" s="139" t="s">
        <v>653</v>
      </c>
      <c r="D329" s="140"/>
      <c r="E329" s="11" t="s">
        <v>102</v>
      </c>
      <c r="F329" s="12">
        <v>2</v>
      </c>
      <c r="G329" s="12">
        <v>20.03</v>
      </c>
      <c r="H329" s="12">
        <v>25.55</v>
      </c>
      <c r="I329" s="13">
        <f>F329*G329</f>
        <v>40.06</v>
      </c>
      <c r="J329" s="13">
        <f>F329*H329</f>
        <v>51.1</v>
      </c>
    </row>
    <row r="330" spans="1:10" s="1" customFormat="1" ht="25.5" customHeight="1" x14ac:dyDescent="0.2">
      <c r="A330" s="8"/>
      <c r="B330" s="149" t="s">
        <v>654</v>
      </c>
      <c r="C330" s="150"/>
      <c r="D330" s="150"/>
      <c r="E330" s="150"/>
      <c r="F330" s="150"/>
      <c r="G330" s="151"/>
      <c r="H330" s="8"/>
      <c r="I330" s="14">
        <f>SUM(I307:I329)-0.01</f>
        <v>5642.7699999999995</v>
      </c>
      <c r="J330" s="15">
        <f>SUM(J307:J329)-0.2</f>
        <v>7199.61</v>
      </c>
    </row>
    <row r="331" spans="1:10" s="1" customFormat="1" ht="25.5" customHeight="1" x14ac:dyDescent="0.2">
      <c r="A331" s="8"/>
      <c r="B331" s="46"/>
      <c r="C331" s="153"/>
      <c r="D331" s="154"/>
      <c r="E331" s="8"/>
      <c r="F331" s="8"/>
      <c r="G331" s="8"/>
      <c r="H331" s="8"/>
      <c r="I331" s="8"/>
      <c r="J331" s="8"/>
    </row>
    <row r="332" spans="1:10" s="1" customFormat="1" ht="25.5" customHeight="1" x14ac:dyDescent="0.2">
      <c r="A332" s="8"/>
      <c r="B332" s="9" t="s">
        <v>655</v>
      </c>
      <c r="C332" s="137" t="s">
        <v>656</v>
      </c>
      <c r="D332" s="138"/>
      <c r="E332" s="8"/>
      <c r="F332" s="8"/>
      <c r="G332" s="8"/>
      <c r="H332" s="8"/>
      <c r="I332" s="8"/>
      <c r="J332" s="8"/>
    </row>
    <row r="333" spans="1:10" s="1" customFormat="1" ht="25.5" customHeight="1" x14ac:dyDescent="0.2">
      <c r="A333" s="8"/>
      <c r="B333" s="9" t="s">
        <v>657</v>
      </c>
      <c r="C333" s="137" t="s">
        <v>626</v>
      </c>
      <c r="D333" s="138"/>
      <c r="E333" s="8"/>
      <c r="F333" s="8"/>
      <c r="G333" s="8"/>
      <c r="H333" s="8"/>
      <c r="I333" s="8"/>
      <c r="J333" s="8"/>
    </row>
    <row r="334" spans="1:10" s="1" customFormat="1" ht="25.5" customHeight="1" x14ac:dyDescent="0.2">
      <c r="A334" s="11" t="s">
        <v>78</v>
      </c>
      <c r="B334" s="21">
        <v>43101</v>
      </c>
      <c r="C334" s="139" t="s">
        <v>658</v>
      </c>
      <c r="D334" s="140"/>
      <c r="E334" s="11" t="s">
        <v>81</v>
      </c>
      <c r="F334" s="12">
        <v>15.5</v>
      </c>
      <c r="G334" s="12">
        <v>15.13</v>
      </c>
      <c r="H334" s="12">
        <v>19.3</v>
      </c>
      <c r="I334" s="13">
        <f t="shared" ref="I334:I339" si="24">F334*G334</f>
        <v>234.51500000000001</v>
      </c>
      <c r="J334" s="13">
        <f t="shared" ref="J334:J339" si="25">F334*H334</f>
        <v>299.15000000000003</v>
      </c>
    </row>
    <row r="335" spans="1:10" s="1" customFormat="1" ht="25.5" customHeight="1" x14ac:dyDescent="0.2">
      <c r="A335" s="11" t="s">
        <v>78</v>
      </c>
      <c r="B335" s="21">
        <v>43102</v>
      </c>
      <c r="C335" s="139" t="s">
        <v>659</v>
      </c>
      <c r="D335" s="140"/>
      <c r="E335" s="11" t="s">
        <v>81</v>
      </c>
      <c r="F335" s="12">
        <v>127.6</v>
      </c>
      <c r="G335" s="12">
        <v>29.08</v>
      </c>
      <c r="H335" s="12">
        <v>37.1</v>
      </c>
      <c r="I335" s="13">
        <f t="shared" si="24"/>
        <v>3710.6079999999997</v>
      </c>
      <c r="J335" s="13">
        <f t="shared" si="25"/>
        <v>4733.96</v>
      </c>
    </row>
    <row r="336" spans="1:10" s="1" customFormat="1" ht="25.5" customHeight="1" x14ac:dyDescent="0.2">
      <c r="A336" s="11" t="s">
        <v>78</v>
      </c>
      <c r="B336" s="21">
        <v>43103</v>
      </c>
      <c r="C336" s="139" t="s">
        <v>660</v>
      </c>
      <c r="D336" s="140"/>
      <c r="E336" s="11" t="s">
        <v>81</v>
      </c>
      <c r="F336" s="12">
        <v>18</v>
      </c>
      <c r="G336" s="12">
        <v>25.97</v>
      </c>
      <c r="H336" s="12">
        <v>33.14</v>
      </c>
      <c r="I336" s="13">
        <f t="shared" si="24"/>
        <v>467.46</v>
      </c>
      <c r="J336" s="13">
        <f t="shared" si="25"/>
        <v>596.52</v>
      </c>
    </row>
    <row r="337" spans="1:10" s="1" customFormat="1" ht="25.5" customHeight="1" x14ac:dyDescent="0.2">
      <c r="A337" s="11" t="s">
        <v>78</v>
      </c>
      <c r="B337" s="21">
        <v>43104</v>
      </c>
      <c r="C337" s="139" t="s">
        <v>661</v>
      </c>
      <c r="D337" s="140"/>
      <c r="E337" s="11" t="s">
        <v>81</v>
      </c>
      <c r="F337" s="12">
        <v>28.7</v>
      </c>
      <c r="G337" s="12">
        <v>39.630000000000003</v>
      </c>
      <c r="H337" s="12">
        <v>50.56</v>
      </c>
      <c r="I337" s="13">
        <f t="shared" si="24"/>
        <v>1137.3810000000001</v>
      </c>
      <c r="J337" s="13">
        <f t="shared" si="25"/>
        <v>1451.0720000000001</v>
      </c>
    </row>
    <row r="338" spans="1:10" s="1" customFormat="1" ht="25.5" customHeight="1" x14ac:dyDescent="0.2">
      <c r="A338" s="11" t="s">
        <v>78</v>
      </c>
      <c r="B338" s="21">
        <v>43105</v>
      </c>
      <c r="C338" s="139" t="s">
        <v>662</v>
      </c>
      <c r="D338" s="140"/>
      <c r="E338" s="11" t="s">
        <v>81</v>
      </c>
      <c r="F338" s="12">
        <v>34.9</v>
      </c>
      <c r="G338" s="12">
        <v>65.430000000000007</v>
      </c>
      <c r="H338" s="12">
        <v>83.48</v>
      </c>
      <c r="I338" s="13">
        <f t="shared" si="24"/>
        <v>2283.5070000000001</v>
      </c>
      <c r="J338" s="13">
        <f t="shared" si="25"/>
        <v>2913.4520000000002</v>
      </c>
    </row>
    <row r="339" spans="1:10" s="1" customFormat="1" ht="25.5" customHeight="1" x14ac:dyDescent="0.2">
      <c r="A339" s="11" t="s">
        <v>78</v>
      </c>
      <c r="B339" s="21">
        <v>43106</v>
      </c>
      <c r="C339" s="139" t="s">
        <v>663</v>
      </c>
      <c r="D339" s="140"/>
      <c r="E339" s="11" t="s">
        <v>81</v>
      </c>
      <c r="F339" s="12">
        <v>13</v>
      </c>
      <c r="G339" s="12">
        <v>103.37</v>
      </c>
      <c r="H339" s="12">
        <v>131.88999999999999</v>
      </c>
      <c r="I339" s="13">
        <f t="shared" si="24"/>
        <v>1343.81</v>
      </c>
      <c r="J339" s="13">
        <f t="shared" si="25"/>
        <v>1714.5699999999997</v>
      </c>
    </row>
    <row r="340" spans="1:10" s="1" customFormat="1" ht="25.5" customHeight="1" x14ac:dyDescent="0.2">
      <c r="A340" s="8"/>
      <c r="B340" s="9" t="s">
        <v>664</v>
      </c>
      <c r="C340" s="137" t="s">
        <v>665</v>
      </c>
      <c r="D340" s="138"/>
      <c r="E340" s="8"/>
      <c r="F340" s="8"/>
      <c r="G340" s="8"/>
      <c r="H340" s="8"/>
      <c r="I340" s="8"/>
      <c r="J340" s="8"/>
    </row>
    <row r="341" spans="1:10" s="1" customFormat="1" ht="25.5" customHeight="1" x14ac:dyDescent="0.2">
      <c r="A341" s="10">
        <v>89592</v>
      </c>
      <c r="B341" s="21">
        <v>43132</v>
      </c>
      <c r="C341" s="139" t="s">
        <v>666</v>
      </c>
      <c r="D341" s="140"/>
      <c r="E341" s="11" t="s">
        <v>102</v>
      </c>
      <c r="F341" s="12">
        <v>11</v>
      </c>
      <c r="G341" s="12">
        <v>231.71</v>
      </c>
      <c r="H341" s="12">
        <v>295.63</v>
      </c>
      <c r="I341" s="13">
        <f>F341*G341</f>
        <v>2548.81</v>
      </c>
      <c r="J341" s="13">
        <f>F341*H341</f>
        <v>3251.93</v>
      </c>
    </row>
    <row r="342" spans="1:10" s="1" customFormat="1" ht="25.5" customHeight="1" x14ac:dyDescent="0.2">
      <c r="A342" s="10">
        <v>89587</v>
      </c>
      <c r="B342" s="21">
        <v>43133</v>
      </c>
      <c r="C342" s="139" t="s">
        <v>667</v>
      </c>
      <c r="D342" s="140"/>
      <c r="E342" s="11" t="s">
        <v>102</v>
      </c>
      <c r="F342" s="12">
        <v>1</v>
      </c>
      <c r="G342" s="12">
        <v>35.79</v>
      </c>
      <c r="H342" s="12">
        <v>45.67</v>
      </c>
      <c r="I342" s="13">
        <f>F342*G342</f>
        <v>35.79</v>
      </c>
      <c r="J342" s="13">
        <f>F342*H342</f>
        <v>45.67</v>
      </c>
    </row>
    <row r="343" spans="1:10" s="1" customFormat="1" ht="25.5" customHeight="1" x14ac:dyDescent="0.2">
      <c r="A343" s="8"/>
      <c r="B343" s="9" t="s">
        <v>668</v>
      </c>
      <c r="C343" s="137" t="s">
        <v>635</v>
      </c>
      <c r="D343" s="138"/>
      <c r="E343" s="8"/>
      <c r="F343" s="8"/>
      <c r="G343" s="8"/>
      <c r="H343" s="8"/>
      <c r="I343" s="8"/>
      <c r="J343" s="8"/>
    </row>
    <row r="344" spans="1:10" s="1" customFormat="1" ht="25.5" customHeight="1" x14ac:dyDescent="0.2">
      <c r="A344" s="10">
        <v>89591</v>
      </c>
      <c r="B344" s="21">
        <v>43160</v>
      </c>
      <c r="C344" s="139" t="s">
        <v>669</v>
      </c>
      <c r="D344" s="140"/>
      <c r="E344" s="11" t="s">
        <v>102</v>
      </c>
      <c r="F344" s="12">
        <v>2</v>
      </c>
      <c r="G344" s="12">
        <v>56.03</v>
      </c>
      <c r="H344" s="12">
        <v>71.489999999999995</v>
      </c>
      <c r="I344" s="13">
        <f>F344*G344</f>
        <v>112.06</v>
      </c>
      <c r="J344" s="13">
        <f>F344*H344</f>
        <v>142.97999999999999</v>
      </c>
    </row>
    <row r="345" spans="1:10" s="1" customFormat="1" ht="25.5" customHeight="1" x14ac:dyDescent="0.2">
      <c r="A345" s="10">
        <v>89590</v>
      </c>
      <c r="B345" s="21">
        <v>43161</v>
      </c>
      <c r="C345" s="139" t="s">
        <v>670</v>
      </c>
      <c r="D345" s="140"/>
      <c r="E345" s="11" t="s">
        <v>102</v>
      </c>
      <c r="F345" s="12">
        <v>2</v>
      </c>
      <c r="G345" s="12">
        <v>68.44</v>
      </c>
      <c r="H345" s="12">
        <v>87.32</v>
      </c>
      <c r="I345" s="13">
        <f>F345*G345</f>
        <v>136.88</v>
      </c>
      <c r="J345" s="13">
        <f>F345*H345</f>
        <v>174.64</v>
      </c>
    </row>
    <row r="346" spans="1:10" s="1" customFormat="1" ht="25.5" customHeight="1" x14ac:dyDescent="0.2">
      <c r="A346" s="8"/>
      <c r="B346" s="9" t="s">
        <v>671</v>
      </c>
      <c r="C346" s="137" t="s">
        <v>641</v>
      </c>
      <c r="D346" s="138"/>
      <c r="E346" s="8"/>
      <c r="F346" s="8"/>
      <c r="G346" s="8"/>
      <c r="H346" s="8"/>
      <c r="I346" s="8"/>
      <c r="J346" s="8"/>
    </row>
    <row r="347" spans="1:10" s="1" customFormat="1" ht="25.5" customHeight="1" x14ac:dyDescent="0.2">
      <c r="A347" s="10">
        <v>89554</v>
      </c>
      <c r="B347" s="21">
        <v>43191</v>
      </c>
      <c r="C347" s="139" t="s">
        <v>672</v>
      </c>
      <c r="D347" s="140"/>
      <c r="E347" s="11" t="s">
        <v>102</v>
      </c>
      <c r="F347" s="12">
        <v>2</v>
      </c>
      <c r="G347" s="12">
        <v>12.67</v>
      </c>
      <c r="H347" s="12">
        <v>16.170000000000002</v>
      </c>
      <c r="I347" s="13">
        <f t="shared" ref="I347:I353" si="26">F347*G347</f>
        <v>25.34</v>
      </c>
      <c r="J347" s="13">
        <f t="shared" ref="J347:J353" si="27">F347*H347</f>
        <v>32.340000000000003</v>
      </c>
    </row>
    <row r="348" spans="1:10" s="1" customFormat="1" ht="25.5" customHeight="1" x14ac:dyDescent="0.2">
      <c r="A348" s="10">
        <v>89677</v>
      </c>
      <c r="B348" s="21">
        <v>43192</v>
      </c>
      <c r="C348" s="139" t="s">
        <v>673</v>
      </c>
      <c r="D348" s="140"/>
      <c r="E348" s="11" t="s">
        <v>102</v>
      </c>
      <c r="F348" s="12">
        <v>5</v>
      </c>
      <c r="G348" s="12">
        <v>34.049999999999997</v>
      </c>
      <c r="H348" s="12">
        <v>43.44</v>
      </c>
      <c r="I348" s="13">
        <f t="shared" si="26"/>
        <v>170.25</v>
      </c>
      <c r="J348" s="13">
        <f t="shared" si="27"/>
        <v>217.2</v>
      </c>
    </row>
    <row r="349" spans="1:10" s="1" customFormat="1" ht="25.5" customHeight="1" x14ac:dyDescent="0.2">
      <c r="A349" s="10">
        <v>3833</v>
      </c>
      <c r="B349" s="21">
        <v>43193</v>
      </c>
      <c r="C349" s="139" t="s">
        <v>674</v>
      </c>
      <c r="D349" s="140"/>
      <c r="E349" s="11" t="s">
        <v>102</v>
      </c>
      <c r="F349" s="12">
        <v>1</v>
      </c>
      <c r="G349" s="12">
        <v>8.4600000000000009</v>
      </c>
      <c r="H349" s="12">
        <v>10.79</v>
      </c>
      <c r="I349" s="13">
        <f t="shared" si="26"/>
        <v>8.4600000000000009</v>
      </c>
      <c r="J349" s="13">
        <f t="shared" si="27"/>
        <v>10.79</v>
      </c>
    </row>
    <row r="350" spans="1:10" s="1" customFormat="1" ht="25.5" customHeight="1" x14ac:dyDescent="0.2">
      <c r="A350" s="10">
        <v>3835</v>
      </c>
      <c r="B350" s="21">
        <v>43194</v>
      </c>
      <c r="C350" s="139" t="s">
        <v>675</v>
      </c>
      <c r="D350" s="140"/>
      <c r="E350" s="11" t="s">
        <v>102</v>
      </c>
      <c r="F350" s="12">
        <v>1</v>
      </c>
      <c r="G350" s="12">
        <v>18.989999999999998</v>
      </c>
      <c r="H350" s="12">
        <v>24.23</v>
      </c>
      <c r="I350" s="13">
        <f t="shared" si="26"/>
        <v>18.989999999999998</v>
      </c>
      <c r="J350" s="13">
        <f t="shared" si="27"/>
        <v>24.23</v>
      </c>
    </row>
    <row r="351" spans="1:10" s="1" customFormat="1" ht="25.5" customHeight="1" x14ac:dyDescent="0.2">
      <c r="A351" s="10">
        <v>3836</v>
      </c>
      <c r="B351" s="21">
        <v>43195</v>
      </c>
      <c r="C351" s="139" t="s">
        <v>676</v>
      </c>
      <c r="D351" s="140"/>
      <c r="E351" s="11" t="s">
        <v>102</v>
      </c>
      <c r="F351" s="12">
        <v>3</v>
      </c>
      <c r="G351" s="12">
        <v>49.1</v>
      </c>
      <c r="H351" s="12">
        <v>62.65</v>
      </c>
      <c r="I351" s="13">
        <f t="shared" si="26"/>
        <v>147.30000000000001</v>
      </c>
      <c r="J351" s="13">
        <f t="shared" si="27"/>
        <v>187.95</v>
      </c>
    </row>
    <row r="352" spans="1:10" s="1" customFormat="1" ht="25.5" customHeight="1" x14ac:dyDescent="0.2">
      <c r="A352" s="10">
        <v>3830</v>
      </c>
      <c r="B352" s="21">
        <v>43196</v>
      </c>
      <c r="C352" s="139" t="s">
        <v>677</v>
      </c>
      <c r="D352" s="140"/>
      <c r="E352" s="11" t="s">
        <v>102</v>
      </c>
      <c r="F352" s="12">
        <v>2</v>
      </c>
      <c r="G352" s="12">
        <v>80.83</v>
      </c>
      <c r="H352" s="12">
        <v>103.13</v>
      </c>
      <c r="I352" s="13">
        <f t="shared" si="26"/>
        <v>161.66</v>
      </c>
      <c r="J352" s="13">
        <f t="shared" si="27"/>
        <v>206.26</v>
      </c>
    </row>
    <row r="353" spans="1:11" s="1" customFormat="1" ht="25.5" customHeight="1" x14ac:dyDescent="0.2">
      <c r="A353" s="10">
        <v>3831</v>
      </c>
      <c r="B353" s="21">
        <v>43197</v>
      </c>
      <c r="C353" s="139" t="s">
        <v>678</v>
      </c>
      <c r="D353" s="140"/>
      <c r="E353" s="11" t="s">
        <v>102</v>
      </c>
      <c r="F353" s="12">
        <v>1</v>
      </c>
      <c r="G353" s="12">
        <v>125.22</v>
      </c>
      <c r="H353" s="12">
        <v>159.77000000000001</v>
      </c>
      <c r="I353" s="13">
        <f t="shared" si="26"/>
        <v>125.22</v>
      </c>
      <c r="J353" s="13">
        <f t="shared" si="27"/>
        <v>159.77000000000001</v>
      </c>
    </row>
    <row r="354" spans="1:11" s="1" customFormat="1" ht="25.5" customHeight="1" x14ac:dyDescent="0.2">
      <c r="A354" s="8"/>
      <c r="B354" s="9" t="s">
        <v>679</v>
      </c>
      <c r="C354" s="137" t="s">
        <v>680</v>
      </c>
      <c r="D354" s="138"/>
      <c r="E354" s="8"/>
      <c r="F354" s="8"/>
      <c r="G354" s="8"/>
      <c r="H354" s="8"/>
      <c r="I354" s="8"/>
      <c r="J354" s="8"/>
    </row>
    <row r="355" spans="1:11" s="1" customFormat="1" ht="25.5" customHeight="1" x14ac:dyDescent="0.2">
      <c r="A355" s="10">
        <v>38448</v>
      </c>
      <c r="B355" s="21">
        <v>43221</v>
      </c>
      <c r="C355" s="139" t="s">
        <v>681</v>
      </c>
      <c r="D355" s="140"/>
      <c r="E355" s="11" t="s">
        <v>102</v>
      </c>
      <c r="F355" s="12">
        <v>11</v>
      </c>
      <c r="G355" s="12">
        <v>149.65</v>
      </c>
      <c r="H355" s="12">
        <v>190.94</v>
      </c>
      <c r="I355" s="13">
        <f>F355*G355</f>
        <v>1646.15</v>
      </c>
      <c r="J355" s="13">
        <f>F355*H355</f>
        <v>2100.34</v>
      </c>
    </row>
    <row r="356" spans="1:11" s="1" customFormat="1" ht="25.5" customHeight="1" x14ac:dyDescent="0.2">
      <c r="A356" s="10">
        <v>20183</v>
      </c>
      <c r="B356" s="21">
        <v>43222</v>
      </c>
      <c r="C356" s="139" t="s">
        <v>682</v>
      </c>
      <c r="D356" s="140"/>
      <c r="E356" s="11" t="s">
        <v>102</v>
      </c>
      <c r="F356" s="12">
        <v>1</v>
      </c>
      <c r="G356" s="12">
        <v>28.2</v>
      </c>
      <c r="H356" s="12">
        <v>35.979999999999997</v>
      </c>
      <c r="I356" s="13">
        <f>F356*G356</f>
        <v>28.2</v>
      </c>
      <c r="J356" s="13">
        <f>F356*H356</f>
        <v>35.979999999999997</v>
      </c>
    </row>
    <row r="357" spans="1:11" s="1" customFormat="1" ht="25.5" customHeight="1" x14ac:dyDescent="0.2">
      <c r="A357" s="8"/>
      <c r="B357" s="149" t="s">
        <v>683</v>
      </c>
      <c r="C357" s="150"/>
      <c r="D357" s="150"/>
      <c r="E357" s="150"/>
      <c r="F357" s="150"/>
      <c r="G357" s="151"/>
      <c r="H357" s="8"/>
      <c r="I357" s="14">
        <f>SUM(I334:I356)-0.17</f>
        <v>14342.220999999996</v>
      </c>
      <c r="J357" s="15">
        <f>SUM(J334:J356)+0.44</f>
        <v>18299.243999999999</v>
      </c>
      <c r="K357" s="49"/>
    </row>
    <row r="358" spans="1:11" s="1" customFormat="1" ht="25.5" customHeight="1" x14ac:dyDescent="0.2">
      <c r="A358" s="8"/>
      <c r="B358" s="43">
        <v>19</v>
      </c>
      <c r="C358" s="137" t="s">
        <v>684</v>
      </c>
      <c r="D358" s="138"/>
      <c r="E358" s="8"/>
      <c r="F358" s="8"/>
      <c r="G358" s="8"/>
      <c r="H358" s="8"/>
      <c r="I358" s="8"/>
      <c r="J358" s="8"/>
    </row>
    <row r="359" spans="1:11" s="1" customFormat="1" ht="25.5" customHeight="1" x14ac:dyDescent="0.2">
      <c r="A359" s="8"/>
      <c r="B359" s="9" t="s">
        <v>685</v>
      </c>
      <c r="C359" s="137" t="s">
        <v>686</v>
      </c>
      <c r="D359" s="138"/>
      <c r="E359" s="8"/>
      <c r="F359" s="8"/>
      <c r="G359" s="8"/>
      <c r="H359" s="8"/>
      <c r="I359" s="8"/>
      <c r="J359" s="8"/>
    </row>
    <row r="360" spans="1:11" s="1" customFormat="1" ht="25.5" customHeight="1" x14ac:dyDescent="0.2">
      <c r="A360" s="11" t="s">
        <v>687</v>
      </c>
      <c r="B360" s="21">
        <v>43466</v>
      </c>
      <c r="C360" s="139" t="s">
        <v>688</v>
      </c>
      <c r="D360" s="140"/>
      <c r="E360" s="11" t="s">
        <v>102</v>
      </c>
      <c r="F360" s="12">
        <v>11</v>
      </c>
      <c r="G360" s="12">
        <v>45.06</v>
      </c>
      <c r="H360" s="12">
        <v>57.5</v>
      </c>
      <c r="I360" s="13">
        <f>F360*G360</f>
        <v>495.66</v>
      </c>
      <c r="J360" s="13">
        <f>F360*H360</f>
        <v>632.5</v>
      </c>
    </row>
    <row r="361" spans="1:11" s="1" customFormat="1" ht="25.5" customHeight="1" x14ac:dyDescent="0.2">
      <c r="A361" s="11" t="s">
        <v>689</v>
      </c>
      <c r="B361" s="21">
        <v>43467</v>
      </c>
      <c r="C361" s="139" t="s">
        <v>690</v>
      </c>
      <c r="D361" s="140"/>
      <c r="E361" s="11" t="s">
        <v>102</v>
      </c>
      <c r="F361" s="12">
        <v>1</v>
      </c>
      <c r="G361" s="12">
        <v>26.35</v>
      </c>
      <c r="H361" s="12">
        <v>33.619999999999997</v>
      </c>
      <c r="I361" s="13">
        <f>F361*G361</f>
        <v>26.35</v>
      </c>
      <c r="J361" s="13">
        <f>F361*H361</f>
        <v>33.619999999999997</v>
      </c>
    </row>
    <row r="362" spans="1:11" s="1" customFormat="1" ht="25.5" customHeight="1" x14ac:dyDescent="0.2">
      <c r="A362" s="8"/>
      <c r="B362" s="9" t="s">
        <v>691</v>
      </c>
      <c r="C362" s="137" t="s">
        <v>692</v>
      </c>
      <c r="D362" s="138"/>
      <c r="E362" s="8"/>
      <c r="F362" s="8"/>
      <c r="G362" s="8"/>
      <c r="H362" s="8"/>
      <c r="I362" s="8"/>
      <c r="J362" s="8"/>
    </row>
    <row r="363" spans="1:11" s="1" customFormat="1" ht="25.5" customHeight="1" x14ac:dyDescent="0.2">
      <c r="A363" s="11" t="s">
        <v>693</v>
      </c>
      <c r="B363" s="21">
        <v>43497</v>
      </c>
      <c r="C363" s="139" t="s">
        <v>694</v>
      </c>
      <c r="D363" s="140"/>
      <c r="E363" s="11" t="s">
        <v>102</v>
      </c>
      <c r="F363" s="12">
        <v>9</v>
      </c>
      <c r="G363" s="12">
        <v>226.16</v>
      </c>
      <c r="H363" s="12">
        <v>288.56</v>
      </c>
      <c r="I363" s="13">
        <f>F363*G363</f>
        <v>2035.44</v>
      </c>
      <c r="J363" s="13">
        <f>F363*H363</f>
        <v>2597.04</v>
      </c>
    </row>
    <row r="364" spans="1:11" s="1" customFormat="1" ht="25.5" customHeight="1" x14ac:dyDescent="0.2">
      <c r="A364" s="10">
        <v>6171</v>
      </c>
      <c r="B364" s="21">
        <v>43498</v>
      </c>
      <c r="C364" s="139" t="s">
        <v>695</v>
      </c>
      <c r="D364" s="140"/>
      <c r="E364" s="11" t="s">
        <v>102</v>
      </c>
      <c r="F364" s="12">
        <v>9</v>
      </c>
      <c r="G364" s="12">
        <v>21.74</v>
      </c>
      <c r="H364" s="12">
        <v>27.74</v>
      </c>
      <c r="I364" s="13">
        <f>F364*G364</f>
        <v>195.66</v>
      </c>
      <c r="J364" s="13">
        <f>F364*H364</f>
        <v>249.66</v>
      </c>
    </row>
    <row r="365" spans="1:11" s="1" customFormat="1" ht="25.5" customHeight="1" x14ac:dyDescent="0.2">
      <c r="A365" s="11" t="s">
        <v>696</v>
      </c>
      <c r="B365" s="21">
        <v>43499</v>
      </c>
      <c r="C365" s="139" t="s">
        <v>697</v>
      </c>
      <c r="D365" s="140"/>
      <c r="E365" s="11" t="s">
        <v>102</v>
      </c>
      <c r="F365" s="12">
        <v>5</v>
      </c>
      <c r="G365" s="12">
        <v>165.35</v>
      </c>
      <c r="H365" s="12">
        <v>210.97</v>
      </c>
      <c r="I365" s="13">
        <f>F365*G365</f>
        <v>826.75</v>
      </c>
      <c r="J365" s="13">
        <f>F365*H365</f>
        <v>1054.8499999999999</v>
      </c>
    </row>
    <row r="366" spans="1:11" s="1" customFormat="1" ht="25.5" customHeight="1" x14ac:dyDescent="0.2">
      <c r="A366" s="11" t="s">
        <v>698</v>
      </c>
      <c r="B366" s="21">
        <v>43500</v>
      </c>
      <c r="C366" s="139" t="s">
        <v>699</v>
      </c>
      <c r="D366" s="140"/>
      <c r="E366" s="11" t="s">
        <v>102</v>
      </c>
      <c r="F366" s="12">
        <v>5</v>
      </c>
      <c r="G366" s="12">
        <v>112.26</v>
      </c>
      <c r="H366" s="12">
        <v>143.22999999999999</v>
      </c>
      <c r="I366" s="13">
        <f>F366*G366</f>
        <v>561.30000000000007</v>
      </c>
      <c r="J366" s="13">
        <f>F366*H366</f>
        <v>716.15</v>
      </c>
    </row>
    <row r="367" spans="1:11" s="1" customFormat="1" ht="25.5" customHeight="1" x14ac:dyDescent="0.2">
      <c r="A367" s="11" t="s">
        <v>700</v>
      </c>
      <c r="B367" s="21">
        <v>43501</v>
      </c>
      <c r="C367" s="139" t="s">
        <v>701</v>
      </c>
      <c r="D367" s="140"/>
      <c r="E367" s="11" t="s">
        <v>102</v>
      </c>
      <c r="F367" s="12">
        <v>2</v>
      </c>
      <c r="G367" s="12">
        <v>171</v>
      </c>
      <c r="H367" s="12">
        <v>218.18</v>
      </c>
      <c r="I367" s="13">
        <f>F367*G367</f>
        <v>342</v>
      </c>
      <c r="J367" s="13">
        <f>F367*H367</f>
        <v>436.36</v>
      </c>
    </row>
    <row r="368" spans="1:11" s="1" customFormat="1" ht="25.5" customHeight="1" x14ac:dyDescent="0.2">
      <c r="A368" s="8"/>
      <c r="B368" s="9" t="s">
        <v>702</v>
      </c>
      <c r="C368" s="137" t="s">
        <v>703</v>
      </c>
      <c r="D368" s="138"/>
      <c r="E368" s="8"/>
      <c r="F368" s="8"/>
      <c r="G368" s="8"/>
      <c r="H368" s="8"/>
      <c r="I368" s="8"/>
      <c r="J368" s="8"/>
    </row>
    <row r="369" spans="1:10" s="1" customFormat="1" ht="25.5" customHeight="1" x14ac:dyDescent="0.2">
      <c r="A369" s="11" t="s">
        <v>704</v>
      </c>
      <c r="B369" s="21">
        <v>43525</v>
      </c>
      <c r="C369" s="139" t="s">
        <v>705</v>
      </c>
      <c r="D369" s="140"/>
      <c r="E369" s="11" t="s">
        <v>102</v>
      </c>
      <c r="F369" s="12">
        <v>1</v>
      </c>
      <c r="G369" s="13">
        <v>1880.53</v>
      </c>
      <c r="H369" s="13">
        <v>2399.37</v>
      </c>
      <c r="I369" s="13">
        <f>F369*G369</f>
        <v>1880.53</v>
      </c>
      <c r="J369" s="13">
        <f>F369*H369</f>
        <v>2399.37</v>
      </c>
    </row>
    <row r="370" spans="1:10" s="1" customFormat="1" ht="25.5" customHeight="1" x14ac:dyDescent="0.2">
      <c r="A370" s="10">
        <v>6171</v>
      </c>
      <c r="B370" s="21">
        <v>43526</v>
      </c>
      <c r="C370" s="139" t="s">
        <v>706</v>
      </c>
      <c r="D370" s="140"/>
      <c r="E370" s="11" t="s">
        <v>102</v>
      </c>
      <c r="F370" s="12">
        <v>1</v>
      </c>
      <c r="G370" s="12">
        <v>21.74</v>
      </c>
      <c r="H370" s="12">
        <v>27.74</v>
      </c>
      <c r="I370" s="13">
        <f>F370*G370</f>
        <v>21.74</v>
      </c>
      <c r="J370" s="13">
        <f>F370*H370</f>
        <v>27.74</v>
      </c>
    </row>
    <row r="371" spans="1:10" s="1" customFormat="1" ht="25.5" customHeight="1" x14ac:dyDescent="0.2">
      <c r="A371" s="8"/>
      <c r="B371" s="9" t="s">
        <v>707</v>
      </c>
      <c r="C371" s="137" t="s">
        <v>708</v>
      </c>
      <c r="D371" s="138"/>
      <c r="E371" s="8"/>
      <c r="F371" s="8"/>
      <c r="G371" s="8"/>
      <c r="H371" s="8"/>
      <c r="I371" s="8"/>
      <c r="J371" s="8"/>
    </row>
    <row r="372" spans="1:10" s="1" customFormat="1" ht="25.5" customHeight="1" x14ac:dyDescent="0.2">
      <c r="A372" s="10">
        <v>1332</v>
      </c>
      <c r="B372" s="21">
        <v>43556</v>
      </c>
      <c r="C372" s="139" t="s">
        <v>709</v>
      </c>
      <c r="D372" s="140"/>
      <c r="E372" s="11" t="s">
        <v>102</v>
      </c>
      <c r="F372" s="12">
        <v>5</v>
      </c>
      <c r="G372" s="12">
        <v>7.59</v>
      </c>
      <c r="H372" s="12">
        <v>9.68</v>
      </c>
      <c r="I372" s="13">
        <f>F372*G372</f>
        <v>37.950000000000003</v>
      </c>
      <c r="J372" s="13">
        <f>F372*H372</f>
        <v>48.4</v>
      </c>
    </row>
    <row r="373" spans="1:10" s="1" customFormat="1" ht="25.5" customHeight="1" x14ac:dyDescent="0.2">
      <c r="A373" s="8"/>
      <c r="B373" s="9" t="s">
        <v>710</v>
      </c>
      <c r="C373" s="137" t="s">
        <v>711</v>
      </c>
      <c r="D373" s="138"/>
      <c r="E373" s="8"/>
      <c r="F373" s="8"/>
      <c r="G373" s="8"/>
      <c r="H373" s="8"/>
      <c r="I373" s="8"/>
      <c r="J373" s="8"/>
    </row>
    <row r="374" spans="1:10" s="1" customFormat="1" ht="25.5" customHeight="1" x14ac:dyDescent="0.2">
      <c r="A374" s="11" t="s">
        <v>712</v>
      </c>
      <c r="B374" s="21">
        <v>43586</v>
      </c>
      <c r="C374" s="139" t="s">
        <v>713</v>
      </c>
      <c r="D374" s="140"/>
      <c r="E374" s="11" t="s">
        <v>81</v>
      </c>
      <c r="F374" s="12">
        <v>8</v>
      </c>
      <c r="G374" s="12">
        <v>267.89</v>
      </c>
      <c r="H374" s="12">
        <v>341.81</v>
      </c>
      <c r="I374" s="13">
        <f>F374*G374</f>
        <v>2143.12</v>
      </c>
      <c r="J374" s="13">
        <f>F374*H374</f>
        <v>2734.48</v>
      </c>
    </row>
    <row r="375" spans="1:10" s="1" customFormat="1" ht="25.5" customHeight="1" x14ac:dyDescent="0.2">
      <c r="A375" s="11" t="s">
        <v>714</v>
      </c>
      <c r="B375" s="21">
        <v>43587</v>
      </c>
      <c r="C375" s="139" t="s">
        <v>715</v>
      </c>
      <c r="D375" s="140"/>
      <c r="E375" s="11" t="s">
        <v>81</v>
      </c>
      <c r="F375" s="12">
        <v>2</v>
      </c>
      <c r="G375" s="12">
        <v>57.59</v>
      </c>
      <c r="H375" s="12">
        <v>73.48</v>
      </c>
      <c r="I375" s="13">
        <f>F375*G375</f>
        <v>115.18</v>
      </c>
      <c r="J375" s="13">
        <f>F375*H375</f>
        <v>146.96</v>
      </c>
    </row>
    <row r="376" spans="1:10" s="1" customFormat="1" ht="25.5" customHeight="1" x14ac:dyDescent="0.2">
      <c r="A376" s="8"/>
      <c r="B376" s="149" t="s">
        <v>716</v>
      </c>
      <c r="C376" s="150"/>
      <c r="D376" s="150"/>
      <c r="E376" s="150"/>
      <c r="F376" s="150"/>
      <c r="G376" s="151"/>
      <c r="H376" s="8"/>
      <c r="I376" s="14">
        <f>SUM(I360:I375)+0.08</f>
        <v>8681.76</v>
      </c>
      <c r="J376" s="15">
        <f>SUM(J360:J375)-0.07</f>
        <v>11077.059999999998</v>
      </c>
    </row>
    <row r="377" spans="1:10" s="1" customFormat="1" ht="25.5" customHeight="1" x14ac:dyDescent="0.2">
      <c r="A377" s="8"/>
      <c r="B377" s="9" t="s">
        <v>717</v>
      </c>
      <c r="C377" s="137" t="s">
        <v>718</v>
      </c>
      <c r="D377" s="138"/>
      <c r="E377" s="8"/>
      <c r="F377" s="8"/>
      <c r="G377" s="8"/>
      <c r="H377" s="8"/>
      <c r="I377" s="8"/>
      <c r="J377" s="8"/>
    </row>
    <row r="378" spans="1:10" s="1" customFormat="1" ht="25.5" customHeight="1" x14ac:dyDescent="0.2">
      <c r="A378" s="8"/>
      <c r="B378" s="9" t="s">
        <v>719</v>
      </c>
      <c r="C378" s="137" t="s">
        <v>626</v>
      </c>
      <c r="D378" s="138"/>
      <c r="E378" s="8"/>
      <c r="F378" s="8"/>
      <c r="G378" s="8"/>
      <c r="H378" s="8"/>
      <c r="I378" s="8"/>
      <c r="J378" s="8"/>
    </row>
    <row r="379" spans="1:10" s="1" customFormat="1" ht="25.5" customHeight="1" x14ac:dyDescent="0.2">
      <c r="A379" s="10">
        <v>89580</v>
      </c>
      <c r="B379" s="21">
        <v>43831</v>
      </c>
      <c r="C379" s="139" t="s">
        <v>720</v>
      </c>
      <c r="D379" s="140"/>
      <c r="E379" s="11" t="s">
        <v>81</v>
      </c>
      <c r="F379" s="12">
        <v>204</v>
      </c>
      <c r="G379" s="12">
        <v>38.24</v>
      </c>
      <c r="H379" s="12">
        <v>48.79</v>
      </c>
      <c r="I379" s="13">
        <f t="shared" ref="I379:I442" si="28">F379*G379</f>
        <v>7800.96</v>
      </c>
      <c r="J379" s="13">
        <f t="shared" ref="J379:J442" si="29">F379*H379</f>
        <v>9953.16</v>
      </c>
    </row>
    <row r="380" spans="1:10" s="1" customFormat="1" ht="25.5" customHeight="1" x14ac:dyDescent="0.2">
      <c r="A380" s="11" t="s">
        <v>721</v>
      </c>
      <c r="B380" s="21">
        <v>43832</v>
      </c>
      <c r="C380" s="139" t="s">
        <v>722</v>
      </c>
      <c r="D380" s="140"/>
      <c r="E380" s="11" t="s">
        <v>81</v>
      </c>
      <c r="F380" s="12">
        <v>108</v>
      </c>
      <c r="G380" s="12">
        <v>31.84</v>
      </c>
      <c r="H380" s="12">
        <v>40.619999999999997</v>
      </c>
      <c r="I380" s="13">
        <f t="shared" si="28"/>
        <v>3438.72</v>
      </c>
      <c r="J380" s="13">
        <f t="shared" si="29"/>
        <v>4386.96</v>
      </c>
    </row>
    <row r="381" spans="1:10" s="1" customFormat="1" ht="25.5" customHeight="1" x14ac:dyDescent="0.2">
      <c r="A381" s="10">
        <v>89511</v>
      </c>
      <c r="B381" s="21">
        <v>43833</v>
      </c>
      <c r="C381" s="139" t="s">
        <v>723</v>
      </c>
      <c r="D381" s="140"/>
      <c r="E381" s="11" t="s">
        <v>81</v>
      </c>
      <c r="F381" s="12">
        <v>120</v>
      </c>
      <c r="G381" s="12">
        <v>24.3</v>
      </c>
      <c r="H381" s="12">
        <v>31</v>
      </c>
      <c r="I381" s="13">
        <f t="shared" si="28"/>
        <v>2916</v>
      </c>
      <c r="J381" s="13">
        <f t="shared" si="29"/>
        <v>3720</v>
      </c>
    </row>
    <row r="382" spans="1:10" s="1" customFormat="1" ht="25.5" customHeight="1" x14ac:dyDescent="0.2">
      <c r="A382" s="10">
        <v>89509</v>
      </c>
      <c r="B382" s="21">
        <v>43834</v>
      </c>
      <c r="C382" s="139" t="s">
        <v>724</v>
      </c>
      <c r="D382" s="140"/>
      <c r="E382" s="11" t="s">
        <v>81</v>
      </c>
      <c r="F382" s="12">
        <v>210</v>
      </c>
      <c r="G382" s="12">
        <v>16.3</v>
      </c>
      <c r="H382" s="12">
        <v>20.8</v>
      </c>
      <c r="I382" s="13">
        <f t="shared" si="28"/>
        <v>3423</v>
      </c>
      <c r="J382" s="13">
        <f t="shared" si="29"/>
        <v>4368</v>
      </c>
    </row>
    <row r="383" spans="1:10" s="1" customFormat="1" ht="25.5" customHeight="1" x14ac:dyDescent="0.2">
      <c r="A383" s="10">
        <v>89508</v>
      </c>
      <c r="B383" s="21">
        <v>43835</v>
      </c>
      <c r="C383" s="139" t="s">
        <v>725</v>
      </c>
      <c r="D383" s="140"/>
      <c r="E383" s="11" t="s">
        <v>81</v>
      </c>
      <c r="F383" s="12">
        <v>102</v>
      </c>
      <c r="G383" s="12">
        <v>11.22</v>
      </c>
      <c r="H383" s="12">
        <v>14.32</v>
      </c>
      <c r="I383" s="13">
        <f t="shared" si="28"/>
        <v>1144.44</v>
      </c>
      <c r="J383" s="13">
        <f t="shared" si="29"/>
        <v>1460.64</v>
      </c>
    </row>
    <row r="384" spans="1:10" s="1" customFormat="1" ht="25.5" customHeight="1" x14ac:dyDescent="0.2">
      <c r="A384" s="8"/>
      <c r="B384" s="9" t="s">
        <v>726</v>
      </c>
      <c r="C384" s="137" t="s">
        <v>727</v>
      </c>
      <c r="D384" s="138"/>
      <c r="E384" s="8"/>
      <c r="F384" s="8"/>
      <c r="G384" s="8"/>
      <c r="H384" s="8"/>
      <c r="I384" s="13">
        <f t="shared" si="28"/>
        <v>0</v>
      </c>
      <c r="J384" s="13">
        <f t="shared" si="29"/>
        <v>0</v>
      </c>
    </row>
    <row r="385" spans="1:10" s="1" customFormat="1" ht="25.5" customHeight="1" x14ac:dyDescent="0.2">
      <c r="A385" s="11" t="s">
        <v>728</v>
      </c>
      <c r="B385" s="21">
        <v>43862</v>
      </c>
      <c r="C385" s="139" t="s">
        <v>729</v>
      </c>
      <c r="D385" s="140"/>
      <c r="E385" s="11" t="s">
        <v>102</v>
      </c>
      <c r="F385" s="12">
        <v>2</v>
      </c>
      <c r="G385" s="12">
        <v>11.18</v>
      </c>
      <c r="H385" s="12">
        <v>14.26</v>
      </c>
      <c r="I385" s="13">
        <f t="shared" si="28"/>
        <v>22.36</v>
      </c>
      <c r="J385" s="13">
        <f t="shared" si="29"/>
        <v>28.52</v>
      </c>
    </row>
    <row r="386" spans="1:10" s="1" customFormat="1" ht="25.5" customHeight="1" x14ac:dyDescent="0.2">
      <c r="A386" s="8"/>
      <c r="B386" s="9" t="s">
        <v>730</v>
      </c>
      <c r="C386" s="137" t="s">
        <v>635</v>
      </c>
      <c r="D386" s="138"/>
      <c r="E386" s="8"/>
      <c r="F386" s="8"/>
      <c r="G386" s="8"/>
      <c r="H386" s="8"/>
      <c r="I386" s="13">
        <f t="shared" si="28"/>
        <v>0</v>
      </c>
      <c r="J386" s="13">
        <f t="shared" si="29"/>
        <v>0</v>
      </c>
    </row>
    <row r="387" spans="1:10" s="1" customFormat="1" ht="25.5" customHeight="1" x14ac:dyDescent="0.2">
      <c r="A387" s="10">
        <v>20151</v>
      </c>
      <c r="B387" s="21">
        <v>43891</v>
      </c>
      <c r="C387" s="139" t="s">
        <v>731</v>
      </c>
      <c r="D387" s="140"/>
      <c r="E387" s="11" t="s">
        <v>102</v>
      </c>
      <c r="F387" s="12">
        <v>11</v>
      </c>
      <c r="G387" s="12">
        <v>15.18</v>
      </c>
      <c r="H387" s="12">
        <v>19.37</v>
      </c>
      <c r="I387" s="13">
        <f t="shared" si="28"/>
        <v>166.98</v>
      </c>
      <c r="J387" s="13">
        <f t="shared" si="29"/>
        <v>213.07000000000002</v>
      </c>
    </row>
    <row r="388" spans="1:10" s="1" customFormat="1" ht="25.5" customHeight="1" x14ac:dyDescent="0.2">
      <c r="A388" s="10">
        <v>20150</v>
      </c>
      <c r="B388" s="21">
        <v>43892</v>
      </c>
      <c r="C388" s="139" t="s">
        <v>732</v>
      </c>
      <c r="D388" s="140"/>
      <c r="E388" s="11" t="s">
        <v>102</v>
      </c>
      <c r="F388" s="12">
        <v>18</v>
      </c>
      <c r="G388" s="12">
        <v>11.04</v>
      </c>
      <c r="H388" s="12">
        <v>14.09</v>
      </c>
      <c r="I388" s="13">
        <f t="shared" si="28"/>
        <v>198.71999999999997</v>
      </c>
      <c r="J388" s="13">
        <f t="shared" si="29"/>
        <v>253.62</v>
      </c>
    </row>
    <row r="389" spans="1:10" s="1" customFormat="1" ht="25.5" customHeight="1" x14ac:dyDescent="0.2">
      <c r="A389" s="10">
        <v>20149</v>
      </c>
      <c r="B389" s="21">
        <v>43893</v>
      </c>
      <c r="C389" s="139" t="s">
        <v>733</v>
      </c>
      <c r="D389" s="140"/>
      <c r="E389" s="11" t="s">
        <v>102</v>
      </c>
      <c r="F389" s="12">
        <v>13</v>
      </c>
      <c r="G389" s="12">
        <v>4.2</v>
      </c>
      <c r="H389" s="12">
        <v>5.36</v>
      </c>
      <c r="I389" s="13">
        <f t="shared" si="28"/>
        <v>54.6</v>
      </c>
      <c r="J389" s="13">
        <f t="shared" si="29"/>
        <v>69.680000000000007</v>
      </c>
    </row>
    <row r="390" spans="1:10" s="1" customFormat="1" ht="25.5" customHeight="1" x14ac:dyDescent="0.2">
      <c r="A390" s="10">
        <v>20148</v>
      </c>
      <c r="B390" s="21">
        <v>43894</v>
      </c>
      <c r="C390" s="139" t="s">
        <v>734</v>
      </c>
      <c r="D390" s="140"/>
      <c r="E390" s="11" t="s">
        <v>102</v>
      </c>
      <c r="F390" s="12">
        <v>33</v>
      </c>
      <c r="G390" s="12">
        <v>2.79</v>
      </c>
      <c r="H390" s="12">
        <v>3.56</v>
      </c>
      <c r="I390" s="13">
        <f t="shared" si="28"/>
        <v>92.070000000000007</v>
      </c>
      <c r="J390" s="13">
        <f t="shared" si="29"/>
        <v>117.48</v>
      </c>
    </row>
    <row r="391" spans="1:10" s="1" customFormat="1" ht="25.5" customHeight="1" x14ac:dyDescent="0.2">
      <c r="A391" s="10">
        <v>20157</v>
      </c>
      <c r="B391" s="21">
        <v>43895</v>
      </c>
      <c r="C391" s="139" t="s">
        <v>735</v>
      </c>
      <c r="D391" s="140"/>
      <c r="E391" s="11" t="s">
        <v>102</v>
      </c>
      <c r="F391" s="12">
        <v>23</v>
      </c>
      <c r="G391" s="12">
        <v>18.87</v>
      </c>
      <c r="H391" s="12">
        <v>24.08</v>
      </c>
      <c r="I391" s="13">
        <f t="shared" si="28"/>
        <v>434.01000000000005</v>
      </c>
      <c r="J391" s="13">
        <f t="shared" si="29"/>
        <v>553.83999999999992</v>
      </c>
    </row>
    <row r="392" spans="1:10" s="1" customFormat="1" ht="25.5" customHeight="1" x14ac:dyDescent="0.2">
      <c r="A392" s="10">
        <v>20156</v>
      </c>
      <c r="B392" s="21">
        <v>43896</v>
      </c>
      <c r="C392" s="139" t="s">
        <v>736</v>
      </c>
      <c r="D392" s="140"/>
      <c r="E392" s="11" t="s">
        <v>102</v>
      </c>
      <c r="F392" s="12">
        <v>7</v>
      </c>
      <c r="G392" s="12">
        <v>11.44</v>
      </c>
      <c r="H392" s="12">
        <v>14.6</v>
      </c>
      <c r="I392" s="13">
        <f t="shared" si="28"/>
        <v>80.08</v>
      </c>
      <c r="J392" s="13">
        <f t="shared" si="29"/>
        <v>102.2</v>
      </c>
    </row>
    <row r="393" spans="1:10" s="1" customFormat="1" ht="25.5" customHeight="1" x14ac:dyDescent="0.2">
      <c r="A393" s="10">
        <v>20155</v>
      </c>
      <c r="B393" s="21">
        <v>43897</v>
      </c>
      <c r="C393" s="139" t="s">
        <v>737</v>
      </c>
      <c r="D393" s="140"/>
      <c r="E393" s="11" t="s">
        <v>102</v>
      </c>
      <c r="F393" s="12">
        <v>80</v>
      </c>
      <c r="G393" s="12">
        <v>4.8099999999999996</v>
      </c>
      <c r="H393" s="12">
        <v>6.14</v>
      </c>
      <c r="I393" s="13">
        <f t="shared" si="28"/>
        <v>384.79999999999995</v>
      </c>
      <c r="J393" s="13">
        <f t="shared" si="29"/>
        <v>491.2</v>
      </c>
    </row>
    <row r="394" spans="1:10" s="1" customFormat="1" ht="25.5" customHeight="1" x14ac:dyDescent="0.2">
      <c r="A394" s="10">
        <v>20154</v>
      </c>
      <c r="B394" s="21">
        <v>43898</v>
      </c>
      <c r="C394" s="139" t="s">
        <v>738</v>
      </c>
      <c r="D394" s="140"/>
      <c r="E394" s="11" t="s">
        <v>102</v>
      </c>
      <c r="F394" s="12">
        <v>69</v>
      </c>
      <c r="G394" s="12">
        <v>3.07</v>
      </c>
      <c r="H394" s="12">
        <v>3.92</v>
      </c>
      <c r="I394" s="13">
        <f t="shared" si="28"/>
        <v>211.82999999999998</v>
      </c>
      <c r="J394" s="13">
        <f t="shared" si="29"/>
        <v>270.48</v>
      </c>
    </row>
    <row r="395" spans="1:10" s="1" customFormat="1" ht="25.5" customHeight="1" x14ac:dyDescent="0.2">
      <c r="A395" s="8"/>
      <c r="B395" s="9" t="s">
        <v>739</v>
      </c>
      <c r="C395" s="137" t="s">
        <v>740</v>
      </c>
      <c r="D395" s="138"/>
      <c r="E395" s="8"/>
      <c r="F395" s="8"/>
      <c r="G395" s="8"/>
      <c r="H395" s="8"/>
      <c r="I395" s="13">
        <f t="shared" si="28"/>
        <v>0</v>
      </c>
      <c r="J395" s="13">
        <f t="shared" si="29"/>
        <v>0</v>
      </c>
    </row>
    <row r="396" spans="1:10" s="1" customFormat="1" ht="25.5" customHeight="1" x14ac:dyDescent="0.2">
      <c r="A396" s="10">
        <v>20141</v>
      </c>
      <c r="B396" s="21">
        <v>43922</v>
      </c>
      <c r="C396" s="139" t="s">
        <v>741</v>
      </c>
      <c r="D396" s="140"/>
      <c r="E396" s="11" t="s">
        <v>102</v>
      </c>
      <c r="F396" s="12">
        <v>6</v>
      </c>
      <c r="G396" s="12">
        <v>8.65</v>
      </c>
      <c r="H396" s="12">
        <v>11.04</v>
      </c>
      <c r="I396" s="13">
        <f t="shared" si="28"/>
        <v>51.900000000000006</v>
      </c>
      <c r="J396" s="13">
        <f t="shared" si="29"/>
        <v>66.239999999999995</v>
      </c>
    </row>
    <row r="397" spans="1:10" s="1" customFormat="1" ht="25.5" customHeight="1" x14ac:dyDescent="0.2">
      <c r="A397" s="10">
        <v>20140</v>
      </c>
      <c r="B397" s="21">
        <v>43923</v>
      </c>
      <c r="C397" s="139" t="s">
        <v>742</v>
      </c>
      <c r="D397" s="140"/>
      <c r="E397" s="11" t="s">
        <v>102</v>
      </c>
      <c r="F397" s="12">
        <v>3</v>
      </c>
      <c r="G397" s="12">
        <v>5.75</v>
      </c>
      <c r="H397" s="12">
        <v>7.34</v>
      </c>
      <c r="I397" s="13">
        <f t="shared" si="28"/>
        <v>17.25</v>
      </c>
      <c r="J397" s="13">
        <f t="shared" si="29"/>
        <v>22.02</v>
      </c>
    </row>
    <row r="398" spans="1:10" s="1" customFormat="1" ht="25.5" customHeight="1" x14ac:dyDescent="0.2">
      <c r="A398" s="8"/>
      <c r="B398" s="9" t="s">
        <v>743</v>
      </c>
      <c r="C398" s="137" t="s">
        <v>641</v>
      </c>
      <c r="D398" s="138"/>
      <c r="E398" s="8"/>
      <c r="F398" s="8"/>
      <c r="G398" s="8"/>
      <c r="H398" s="8"/>
      <c r="I398" s="13">
        <f t="shared" si="28"/>
        <v>0</v>
      </c>
      <c r="J398" s="13">
        <f t="shared" si="29"/>
        <v>0</v>
      </c>
    </row>
    <row r="399" spans="1:10" s="1" customFormat="1" ht="25.5" customHeight="1" x14ac:dyDescent="0.2">
      <c r="A399" s="10">
        <v>20171</v>
      </c>
      <c r="B399" s="21">
        <v>43952</v>
      </c>
      <c r="C399" s="139" t="s">
        <v>744</v>
      </c>
      <c r="D399" s="140"/>
      <c r="E399" s="11" t="s">
        <v>102</v>
      </c>
      <c r="F399" s="12">
        <v>13</v>
      </c>
      <c r="G399" s="12">
        <v>25.8</v>
      </c>
      <c r="H399" s="12">
        <v>32.92</v>
      </c>
      <c r="I399" s="13">
        <f t="shared" si="28"/>
        <v>335.40000000000003</v>
      </c>
      <c r="J399" s="13">
        <f t="shared" si="29"/>
        <v>427.96000000000004</v>
      </c>
    </row>
    <row r="400" spans="1:10" s="1" customFormat="1" ht="25.5" customHeight="1" x14ac:dyDescent="0.2">
      <c r="A400" s="10">
        <v>20170</v>
      </c>
      <c r="B400" s="21">
        <v>43953</v>
      </c>
      <c r="C400" s="139" t="s">
        <v>745</v>
      </c>
      <c r="D400" s="140"/>
      <c r="E400" s="11" t="s">
        <v>102</v>
      </c>
      <c r="F400" s="12">
        <v>7</v>
      </c>
      <c r="G400" s="12">
        <v>8.23</v>
      </c>
      <c r="H400" s="12">
        <v>10.5</v>
      </c>
      <c r="I400" s="13">
        <f t="shared" si="28"/>
        <v>57.61</v>
      </c>
      <c r="J400" s="13">
        <f t="shared" si="29"/>
        <v>73.5</v>
      </c>
    </row>
    <row r="401" spans="1:10" s="1" customFormat="1" ht="25.5" customHeight="1" x14ac:dyDescent="0.2">
      <c r="A401" s="10">
        <v>20169</v>
      </c>
      <c r="B401" s="21">
        <v>43954</v>
      </c>
      <c r="C401" s="139" t="s">
        <v>746</v>
      </c>
      <c r="D401" s="140"/>
      <c r="E401" s="11" t="s">
        <v>102</v>
      </c>
      <c r="F401" s="12">
        <v>8</v>
      </c>
      <c r="G401" s="12">
        <v>6.79</v>
      </c>
      <c r="H401" s="12">
        <v>8.66</v>
      </c>
      <c r="I401" s="13">
        <f t="shared" si="28"/>
        <v>54.32</v>
      </c>
      <c r="J401" s="13">
        <f t="shared" si="29"/>
        <v>69.28</v>
      </c>
    </row>
    <row r="402" spans="1:10" s="1" customFormat="1" ht="25.5" customHeight="1" x14ac:dyDescent="0.2">
      <c r="A402" s="10">
        <v>20168</v>
      </c>
      <c r="B402" s="21">
        <v>43955</v>
      </c>
      <c r="C402" s="139" t="s">
        <v>747</v>
      </c>
      <c r="D402" s="140"/>
      <c r="E402" s="11" t="s">
        <v>102</v>
      </c>
      <c r="F402" s="12">
        <v>14</v>
      </c>
      <c r="G402" s="12">
        <v>4.83</v>
      </c>
      <c r="H402" s="12">
        <v>6.16</v>
      </c>
      <c r="I402" s="13">
        <f t="shared" si="28"/>
        <v>67.62</v>
      </c>
      <c r="J402" s="13">
        <f t="shared" si="29"/>
        <v>86.240000000000009</v>
      </c>
    </row>
    <row r="403" spans="1:10" s="1" customFormat="1" ht="25.5" customHeight="1" x14ac:dyDescent="0.2">
      <c r="A403" s="10">
        <v>20167</v>
      </c>
      <c r="B403" s="21">
        <v>43956</v>
      </c>
      <c r="C403" s="139" t="s">
        <v>748</v>
      </c>
      <c r="D403" s="140"/>
      <c r="E403" s="11" t="s">
        <v>102</v>
      </c>
      <c r="F403" s="12">
        <v>7</v>
      </c>
      <c r="G403" s="12">
        <v>3.24</v>
      </c>
      <c r="H403" s="12">
        <v>4.13</v>
      </c>
      <c r="I403" s="13">
        <f t="shared" si="28"/>
        <v>22.68</v>
      </c>
      <c r="J403" s="13">
        <f t="shared" si="29"/>
        <v>28.91</v>
      </c>
    </row>
    <row r="404" spans="1:10" s="1" customFormat="1" ht="25.5" customHeight="1" x14ac:dyDescent="0.2">
      <c r="A404" s="8"/>
      <c r="B404" s="9" t="s">
        <v>749</v>
      </c>
      <c r="C404" s="137" t="s">
        <v>750</v>
      </c>
      <c r="D404" s="138"/>
      <c r="E404" s="8"/>
      <c r="F404" s="8"/>
      <c r="G404" s="8"/>
      <c r="H404" s="8"/>
      <c r="I404" s="13">
        <f t="shared" si="28"/>
        <v>0</v>
      </c>
      <c r="J404" s="13">
        <f t="shared" si="29"/>
        <v>0</v>
      </c>
    </row>
    <row r="405" spans="1:10" s="1" customFormat="1" ht="25.5" customHeight="1" x14ac:dyDescent="0.2">
      <c r="A405" s="19">
        <v>20042</v>
      </c>
      <c r="B405" s="21">
        <v>43983</v>
      </c>
      <c r="C405" s="139" t="s">
        <v>751</v>
      </c>
      <c r="D405" s="140"/>
      <c r="E405" s="11" t="s">
        <v>102</v>
      </c>
      <c r="F405" s="12">
        <v>9</v>
      </c>
      <c r="G405" s="12">
        <v>3.11</v>
      </c>
      <c r="H405" s="12">
        <v>3.97</v>
      </c>
      <c r="I405" s="13">
        <f t="shared" si="28"/>
        <v>27.99</v>
      </c>
      <c r="J405" s="13">
        <f t="shared" si="29"/>
        <v>35.730000000000004</v>
      </c>
    </row>
    <row r="406" spans="1:10" s="1" customFormat="1" ht="25.5" customHeight="1" x14ac:dyDescent="0.2">
      <c r="A406" s="19">
        <v>38418</v>
      </c>
      <c r="B406" s="21">
        <v>43984</v>
      </c>
      <c r="C406" s="139" t="s">
        <v>752</v>
      </c>
      <c r="D406" s="140"/>
      <c r="E406" s="11" t="s">
        <v>102</v>
      </c>
      <c r="F406" s="12">
        <v>2</v>
      </c>
      <c r="G406" s="12">
        <v>3.14</v>
      </c>
      <c r="H406" s="12">
        <v>4.01</v>
      </c>
      <c r="I406" s="13">
        <f t="shared" si="28"/>
        <v>6.28</v>
      </c>
      <c r="J406" s="13">
        <f t="shared" si="29"/>
        <v>8.02</v>
      </c>
    </row>
    <row r="407" spans="1:10" s="1" customFormat="1" ht="25.5" customHeight="1" x14ac:dyDescent="0.2">
      <c r="A407" s="8"/>
      <c r="B407" s="9" t="s">
        <v>753</v>
      </c>
      <c r="C407" s="137" t="s">
        <v>754</v>
      </c>
      <c r="D407" s="138"/>
      <c r="E407" s="8"/>
      <c r="F407" s="8"/>
      <c r="G407" s="8"/>
      <c r="H407" s="8"/>
      <c r="I407" s="13">
        <f t="shared" si="28"/>
        <v>0</v>
      </c>
      <c r="J407" s="13">
        <f t="shared" si="29"/>
        <v>0</v>
      </c>
    </row>
    <row r="408" spans="1:10" s="1" customFormat="1" ht="25.5" customHeight="1" x14ac:dyDescent="0.2">
      <c r="A408" s="19">
        <v>89834</v>
      </c>
      <c r="B408" s="21">
        <v>44013</v>
      </c>
      <c r="C408" s="139" t="s">
        <v>755</v>
      </c>
      <c r="D408" s="140"/>
      <c r="E408" s="11" t="s">
        <v>102</v>
      </c>
      <c r="F408" s="12">
        <v>23</v>
      </c>
      <c r="G408" s="12">
        <v>26.88</v>
      </c>
      <c r="H408" s="12">
        <v>34.299999999999997</v>
      </c>
      <c r="I408" s="13">
        <f t="shared" si="28"/>
        <v>618.24</v>
      </c>
      <c r="J408" s="13">
        <f t="shared" si="29"/>
        <v>788.9</v>
      </c>
    </row>
    <row r="409" spans="1:10" s="1" customFormat="1" ht="25.5" customHeight="1" x14ac:dyDescent="0.2">
      <c r="A409" s="8"/>
      <c r="B409" s="9" t="s">
        <v>756</v>
      </c>
      <c r="C409" s="137" t="s">
        <v>757</v>
      </c>
      <c r="D409" s="138"/>
      <c r="E409" s="8"/>
      <c r="F409" s="8"/>
      <c r="G409" s="8"/>
      <c r="H409" s="8"/>
      <c r="I409" s="13">
        <f t="shared" si="28"/>
        <v>0</v>
      </c>
      <c r="J409" s="13">
        <f t="shared" si="29"/>
        <v>0</v>
      </c>
    </row>
    <row r="410" spans="1:10" s="1" customFormat="1" ht="25.5" customHeight="1" x14ac:dyDescent="0.2">
      <c r="A410" s="19">
        <v>6138</v>
      </c>
      <c r="B410" s="21">
        <v>44044</v>
      </c>
      <c r="C410" s="139" t="s">
        <v>758</v>
      </c>
      <c r="D410" s="140"/>
      <c r="E410" s="11" t="s">
        <v>102</v>
      </c>
      <c r="F410" s="12">
        <v>23</v>
      </c>
      <c r="G410" s="12">
        <v>1.66</v>
      </c>
      <c r="H410" s="12">
        <v>2.12</v>
      </c>
      <c r="I410" s="13">
        <f t="shared" si="28"/>
        <v>38.18</v>
      </c>
      <c r="J410" s="13">
        <f t="shared" si="29"/>
        <v>48.760000000000005</v>
      </c>
    </row>
    <row r="411" spans="1:10" s="1" customFormat="1" ht="25.5" customHeight="1" x14ac:dyDescent="0.2">
      <c r="A411" s="8"/>
      <c r="B411" s="9" t="s">
        <v>759</v>
      </c>
      <c r="C411" s="137" t="s">
        <v>760</v>
      </c>
      <c r="D411" s="138"/>
      <c r="E411" s="8"/>
      <c r="F411" s="8"/>
      <c r="G411" s="8"/>
      <c r="H411" s="8"/>
      <c r="I411" s="13">
        <f t="shared" si="28"/>
        <v>0</v>
      </c>
      <c r="J411" s="13">
        <f t="shared" si="29"/>
        <v>0</v>
      </c>
    </row>
    <row r="412" spans="1:10" s="1" customFormat="1" ht="25.5" customHeight="1" x14ac:dyDescent="0.2">
      <c r="A412" s="24">
        <v>84</v>
      </c>
      <c r="B412" s="21">
        <v>44075</v>
      </c>
      <c r="C412" s="139" t="s">
        <v>761</v>
      </c>
      <c r="D412" s="140"/>
      <c r="E412" s="11" t="s">
        <v>102</v>
      </c>
      <c r="F412" s="12">
        <v>17</v>
      </c>
      <c r="G412" s="12">
        <v>1.34</v>
      </c>
      <c r="H412" s="12">
        <v>1.71</v>
      </c>
      <c r="I412" s="13">
        <f t="shared" si="28"/>
        <v>22.78</v>
      </c>
      <c r="J412" s="13">
        <f t="shared" si="29"/>
        <v>29.07</v>
      </c>
    </row>
    <row r="413" spans="1:10" s="1" customFormat="1" ht="25.5" customHeight="1" x14ac:dyDescent="0.2">
      <c r="A413" s="8"/>
      <c r="B413" s="9" t="s">
        <v>762</v>
      </c>
      <c r="C413" s="137" t="s">
        <v>450</v>
      </c>
      <c r="D413" s="138"/>
      <c r="E413" s="8"/>
      <c r="F413" s="8"/>
      <c r="G413" s="8"/>
      <c r="H413" s="8"/>
      <c r="I413" s="13">
        <f t="shared" si="28"/>
        <v>0</v>
      </c>
      <c r="J413" s="13">
        <f t="shared" si="29"/>
        <v>0</v>
      </c>
    </row>
    <row r="414" spans="1:10" s="1" customFormat="1" ht="25.5" customHeight="1" x14ac:dyDescent="0.2">
      <c r="A414" s="19">
        <v>20178</v>
      </c>
      <c r="B414" s="25">
        <v>44105</v>
      </c>
      <c r="C414" s="139" t="s">
        <v>763</v>
      </c>
      <c r="D414" s="140"/>
      <c r="E414" s="11" t="s">
        <v>102</v>
      </c>
      <c r="F414" s="12">
        <v>23</v>
      </c>
      <c r="G414" s="12">
        <v>21.6</v>
      </c>
      <c r="H414" s="12">
        <v>27.56</v>
      </c>
      <c r="I414" s="13">
        <f t="shared" si="28"/>
        <v>496.8</v>
      </c>
      <c r="J414" s="13">
        <f t="shared" si="29"/>
        <v>633.88</v>
      </c>
    </row>
    <row r="415" spans="1:10" s="1" customFormat="1" ht="25.5" customHeight="1" x14ac:dyDescent="0.2">
      <c r="A415" s="22" t="s">
        <v>308</v>
      </c>
      <c r="B415" s="25">
        <v>44106</v>
      </c>
      <c r="C415" s="139" t="s">
        <v>764</v>
      </c>
      <c r="D415" s="140"/>
      <c r="E415" s="11" t="s">
        <v>102</v>
      </c>
      <c r="F415" s="12">
        <v>21</v>
      </c>
      <c r="G415" s="12">
        <v>15.9</v>
      </c>
      <c r="H415" s="12">
        <v>20.29</v>
      </c>
      <c r="I415" s="13">
        <f t="shared" si="28"/>
        <v>333.90000000000003</v>
      </c>
      <c r="J415" s="13">
        <f t="shared" si="29"/>
        <v>426.09</v>
      </c>
    </row>
    <row r="416" spans="1:10" s="1" customFormat="1" ht="25.5" customHeight="1" x14ac:dyDescent="0.2">
      <c r="A416" s="19">
        <v>20179</v>
      </c>
      <c r="B416" s="25">
        <v>44107</v>
      </c>
      <c r="C416" s="139" t="s">
        <v>765</v>
      </c>
      <c r="D416" s="140"/>
      <c r="E416" s="11" t="s">
        <v>102</v>
      </c>
      <c r="F416" s="12">
        <v>2</v>
      </c>
      <c r="G416" s="12">
        <v>29.74</v>
      </c>
      <c r="H416" s="12">
        <v>37.950000000000003</v>
      </c>
      <c r="I416" s="13">
        <f t="shared" si="28"/>
        <v>59.48</v>
      </c>
      <c r="J416" s="13">
        <f t="shared" si="29"/>
        <v>75.900000000000006</v>
      </c>
    </row>
    <row r="417" spans="1:10" s="1" customFormat="1" ht="25.5" customHeight="1" x14ac:dyDescent="0.2">
      <c r="A417" s="19">
        <v>20177</v>
      </c>
      <c r="B417" s="25">
        <v>44108</v>
      </c>
      <c r="C417" s="139" t="s">
        <v>766</v>
      </c>
      <c r="D417" s="140"/>
      <c r="E417" s="11" t="s">
        <v>102</v>
      </c>
      <c r="F417" s="12">
        <v>4</v>
      </c>
      <c r="G417" s="12">
        <v>17.09</v>
      </c>
      <c r="H417" s="12">
        <v>21.81</v>
      </c>
      <c r="I417" s="13">
        <f t="shared" si="28"/>
        <v>68.36</v>
      </c>
      <c r="J417" s="13">
        <f t="shared" si="29"/>
        <v>87.24</v>
      </c>
    </row>
    <row r="418" spans="1:10" s="1" customFormat="1" ht="25.5" customHeight="1" x14ac:dyDescent="0.2">
      <c r="A418" s="19">
        <v>7097</v>
      </c>
      <c r="B418" s="25">
        <v>44109</v>
      </c>
      <c r="C418" s="139" t="s">
        <v>767</v>
      </c>
      <c r="D418" s="140"/>
      <c r="E418" s="11" t="s">
        <v>102</v>
      </c>
      <c r="F418" s="12">
        <v>50</v>
      </c>
      <c r="G418" s="12">
        <v>5.2</v>
      </c>
      <c r="H418" s="12">
        <v>6.63</v>
      </c>
      <c r="I418" s="13">
        <f t="shared" si="28"/>
        <v>260</v>
      </c>
      <c r="J418" s="13">
        <f t="shared" si="29"/>
        <v>331.5</v>
      </c>
    </row>
    <row r="419" spans="1:10" s="1" customFormat="1" ht="25.5" customHeight="1" x14ac:dyDescent="0.2">
      <c r="A419" s="8"/>
      <c r="B419" s="9" t="s">
        <v>768</v>
      </c>
      <c r="C419" s="137" t="s">
        <v>684</v>
      </c>
      <c r="D419" s="138"/>
      <c r="E419" s="8"/>
      <c r="F419" s="8"/>
      <c r="G419" s="8"/>
      <c r="H419" s="8"/>
      <c r="I419" s="13">
        <f t="shared" si="28"/>
        <v>0</v>
      </c>
      <c r="J419" s="13">
        <f t="shared" si="29"/>
        <v>0</v>
      </c>
    </row>
    <row r="420" spans="1:10" s="1" customFormat="1" ht="25.5" customHeight="1" x14ac:dyDescent="0.2">
      <c r="A420" s="8"/>
      <c r="B420" s="26">
        <v>44136</v>
      </c>
      <c r="C420" s="137" t="s">
        <v>769</v>
      </c>
      <c r="D420" s="138"/>
      <c r="E420" s="8"/>
      <c r="F420" s="8"/>
      <c r="G420" s="8"/>
      <c r="H420" s="8"/>
      <c r="I420" s="13">
        <f t="shared" si="28"/>
        <v>0</v>
      </c>
      <c r="J420" s="13">
        <f t="shared" si="29"/>
        <v>0</v>
      </c>
    </row>
    <row r="421" spans="1:10" s="1" customFormat="1" ht="25.5" customHeight="1" x14ac:dyDescent="0.2">
      <c r="A421" s="19">
        <v>11880</v>
      </c>
      <c r="B421" s="11" t="s">
        <v>770</v>
      </c>
      <c r="C421" s="139" t="s">
        <v>771</v>
      </c>
      <c r="D421" s="140"/>
      <c r="E421" s="11" t="s">
        <v>102</v>
      </c>
      <c r="F421" s="12">
        <v>4</v>
      </c>
      <c r="G421" s="12">
        <v>68.53</v>
      </c>
      <c r="H421" s="12">
        <v>87.44</v>
      </c>
      <c r="I421" s="13">
        <f t="shared" si="28"/>
        <v>274.12</v>
      </c>
      <c r="J421" s="13">
        <f t="shared" si="29"/>
        <v>349.76</v>
      </c>
    </row>
    <row r="422" spans="1:10" s="1" customFormat="1" ht="25.5" customHeight="1" x14ac:dyDescent="0.2">
      <c r="A422" s="19">
        <v>89491</v>
      </c>
      <c r="B422" s="11" t="s">
        <v>772</v>
      </c>
      <c r="C422" s="139" t="s">
        <v>773</v>
      </c>
      <c r="D422" s="140"/>
      <c r="E422" s="11" t="s">
        <v>102</v>
      </c>
      <c r="F422" s="12">
        <v>18</v>
      </c>
      <c r="G422" s="12">
        <v>44.44</v>
      </c>
      <c r="H422" s="12">
        <v>56.7</v>
      </c>
      <c r="I422" s="13">
        <f t="shared" si="28"/>
        <v>799.92</v>
      </c>
      <c r="J422" s="13">
        <f t="shared" si="29"/>
        <v>1020.6</v>
      </c>
    </row>
    <row r="423" spans="1:10" s="1" customFormat="1" ht="25.5" customHeight="1" x14ac:dyDescent="0.2">
      <c r="A423" s="8"/>
      <c r="B423" s="26">
        <v>44137</v>
      </c>
      <c r="C423" s="137" t="s">
        <v>774</v>
      </c>
      <c r="D423" s="138"/>
      <c r="E423" s="8"/>
      <c r="F423" s="8"/>
      <c r="G423" s="8"/>
      <c r="H423" s="8"/>
      <c r="I423" s="13">
        <f t="shared" si="28"/>
        <v>0</v>
      </c>
      <c r="J423" s="13">
        <f t="shared" si="29"/>
        <v>0</v>
      </c>
    </row>
    <row r="424" spans="1:10" s="1" customFormat="1" ht="25.5" customHeight="1" x14ac:dyDescent="0.2">
      <c r="A424" s="19">
        <v>11716</v>
      </c>
      <c r="B424" s="11" t="s">
        <v>775</v>
      </c>
      <c r="C424" s="139" t="s">
        <v>776</v>
      </c>
      <c r="D424" s="140"/>
      <c r="E424" s="11" t="s">
        <v>102</v>
      </c>
      <c r="F424" s="12">
        <v>6</v>
      </c>
      <c r="G424" s="12">
        <v>10.38</v>
      </c>
      <c r="H424" s="12">
        <v>13.24</v>
      </c>
      <c r="I424" s="13">
        <f t="shared" si="28"/>
        <v>62.28</v>
      </c>
      <c r="J424" s="13">
        <f t="shared" si="29"/>
        <v>79.44</v>
      </c>
    </row>
    <row r="425" spans="1:10" s="1" customFormat="1" ht="25.5" customHeight="1" x14ac:dyDescent="0.2">
      <c r="A425" s="8"/>
      <c r="B425" s="26">
        <v>44138</v>
      </c>
      <c r="C425" s="137" t="s">
        <v>711</v>
      </c>
      <c r="D425" s="138"/>
      <c r="E425" s="8"/>
      <c r="F425" s="8"/>
      <c r="G425" s="8"/>
      <c r="H425" s="8"/>
      <c r="I425" s="13">
        <f t="shared" si="28"/>
        <v>0</v>
      </c>
      <c r="J425" s="13">
        <f t="shared" si="29"/>
        <v>0</v>
      </c>
    </row>
    <row r="426" spans="1:10" s="1" customFormat="1" ht="25.5" customHeight="1" x14ac:dyDescent="0.2">
      <c r="A426" s="22" t="s">
        <v>308</v>
      </c>
      <c r="B426" s="11" t="s">
        <v>777</v>
      </c>
      <c r="C426" s="139" t="s">
        <v>778</v>
      </c>
      <c r="D426" s="140"/>
      <c r="E426" s="11" t="s">
        <v>102</v>
      </c>
      <c r="F426" s="12">
        <v>13</v>
      </c>
      <c r="G426" s="12">
        <v>24.15</v>
      </c>
      <c r="H426" s="12">
        <v>30.81</v>
      </c>
      <c r="I426" s="13">
        <f t="shared" si="28"/>
        <v>313.95</v>
      </c>
      <c r="J426" s="13">
        <f t="shared" si="29"/>
        <v>400.53</v>
      </c>
    </row>
    <row r="427" spans="1:10" s="1" customFormat="1" ht="25.5" customHeight="1" x14ac:dyDescent="0.2">
      <c r="A427" s="22" t="s">
        <v>308</v>
      </c>
      <c r="B427" s="11" t="s">
        <v>779</v>
      </c>
      <c r="C427" s="139" t="s">
        <v>780</v>
      </c>
      <c r="D427" s="140"/>
      <c r="E427" s="11" t="s">
        <v>102</v>
      </c>
      <c r="F427" s="12">
        <v>2</v>
      </c>
      <c r="G427" s="12">
        <v>11.66</v>
      </c>
      <c r="H427" s="12">
        <v>14.88</v>
      </c>
      <c r="I427" s="13">
        <f t="shared" si="28"/>
        <v>23.32</v>
      </c>
      <c r="J427" s="13">
        <f t="shared" si="29"/>
        <v>29.76</v>
      </c>
    </row>
    <row r="428" spans="1:10" s="1" customFormat="1" ht="25.5" customHeight="1" x14ac:dyDescent="0.2">
      <c r="A428" s="22" t="s">
        <v>308</v>
      </c>
      <c r="B428" s="11" t="s">
        <v>781</v>
      </c>
      <c r="C428" s="139" t="s">
        <v>782</v>
      </c>
      <c r="D428" s="140"/>
      <c r="E428" s="11" t="s">
        <v>102</v>
      </c>
      <c r="F428" s="12">
        <v>5</v>
      </c>
      <c r="G428" s="12">
        <v>16.05</v>
      </c>
      <c r="H428" s="12">
        <v>20.48</v>
      </c>
      <c r="I428" s="13">
        <f t="shared" si="28"/>
        <v>80.25</v>
      </c>
      <c r="J428" s="13">
        <f t="shared" si="29"/>
        <v>102.4</v>
      </c>
    </row>
    <row r="429" spans="1:10" s="1" customFormat="1" ht="25.5" customHeight="1" x14ac:dyDescent="0.2">
      <c r="A429" s="22" t="s">
        <v>308</v>
      </c>
      <c r="B429" s="11" t="s">
        <v>783</v>
      </c>
      <c r="C429" s="139" t="s">
        <v>784</v>
      </c>
      <c r="D429" s="140"/>
      <c r="E429" s="11" t="s">
        <v>102</v>
      </c>
      <c r="F429" s="12">
        <v>4</v>
      </c>
      <c r="G429" s="12">
        <v>9.69</v>
      </c>
      <c r="H429" s="12">
        <v>12.36</v>
      </c>
      <c r="I429" s="13">
        <f t="shared" si="28"/>
        <v>38.76</v>
      </c>
      <c r="J429" s="13">
        <f t="shared" si="29"/>
        <v>49.44</v>
      </c>
    </row>
    <row r="430" spans="1:10" s="1" customFormat="1" ht="25.5" customHeight="1" x14ac:dyDescent="0.2">
      <c r="A430" s="22" t="s">
        <v>308</v>
      </c>
      <c r="B430" s="11" t="s">
        <v>785</v>
      </c>
      <c r="C430" s="139" t="s">
        <v>786</v>
      </c>
      <c r="D430" s="140"/>
      <c r="E430" s="11" t="s">
        <v>102</v>
      </c>
      <c r="F430" s="12">
        <v>8</v>
      </c>
      <c r="G430" s="12">
        <v>128.66</v>
      </c>
      <c r="H430" s="12">
        <v>164.16</v>
      </c>
      <c r="I430" s="13">
        <f t="shared" si="28"/>
        <v>1029.28</v>
      </c>
      <c r="J430" s="13">
        <f t="shared" si="29"/>
        <v>1313.28</v>
      </c>
    </row>
    <row r="431" spans="1:10" s="1" customFormat="1" ht="25.5" customHeight="1" x14ac:dyDescent="0.2">
      <c r="A431" s="22" t="s">
        <v>308</v>
      </c>
      <c r="B431" s="11" t="s">
        <v>787</v>
      </c>
      <c r="C431" s="139" t="s">
        <v>788</v>
      </c>
      <c r="D431" s="140"/>
      <c r="E431" s="11" t="s">
        <v>102</v>
      </c>
      <c r="F431" s="12">
        <v>40</v>
      </c>
      <c r="G431" s="12">
        <v>61.54</v>
      </c>
      <c r="H431" s="12">
        <v>78.52</v>
      </c>
      <c r="I431" s="13">
        <f t="shared" si="28"/>
        <v>2461.6</v>
      </c>
      <c r="J431" s="13">
        <f t="shared" si="29"/>
        <v>3140.7999999999997</v>
      </c>
    </row>
    <row r="432" spans="1:10" s="1" customFormat="1" ht="25.5" customHeight="1" x14ac:dyDescent="0.2">
      <c r="A432" s="22" t="s">
        <v>308</v>
      </c>
      <c r="B432" s="11" t="s">
        <v>789</v>
      </c>
      <c r="C432" s="139" t="s">
        <v>790</v>
      </c>
      <c r="D432" s="140"/>
      <c r="E432" s="11" t="s">
        <v>102</v>
      </c>
      <c r="F432" s="12">
        <v>1</v>
      </c>
      <c r="G432" s="12">
        <v>23.8</v>
      </c>
      <c r="H432" s="12">
        <v>30.37</v>
      </c>
      <c r="I432" s="13">
        <f t="shared" si="28"/>
        <v>23.8</v>
      </c>
      <c r="J432" s="13">
        <f t="shared" si="29"/>
        <v>30.37</v>
      </c>
    </row>
    <row r="433" spans="1:10" s="1" customFormat="1" ht="25.5" customHeight="1" x14ac:dyDescent="0.2">
      <c r="A433" s="22" t="s">
        <v>308</v>
      </c>
      <c r="B433" s="11" t="s">
        <v>791</v>
      </c>
      <c r="C433" s="139" t="s">
        <v>792</v>
      </c>
      <c r="D433" s="140"/>
      <c r="E433" s="11" t="s">
        <v>102</v>
      </c>
      <c r="F433" s="12">
        <v>4</v>
      </c>
      <c r="G433" s="12">
        <v>39.9</v>
      </c>
      <c r="H433" s="12">
        <v>50.91</v>
      </c>
      <c r="I433" s="13">
        <f t="shared" si="28"/>
        <v>159.6</v>
      </c>
      <c r="J433" s="13">
        <f t="shared" si="29"/>
        <v>203.64</v>
      </c>
    </row>
    <row r="434" spans="1:10" s="1" customFormat="1" ht="25.5" customHeight="1" x14ac:dyDescent="0.2">
      <c r="A434" s="22" t="s">
        <v>308</v>
      </c>
      <c r="B434" s="11" t="s">
        <v>793</v>
      </c>
      <c r="C434" s="139" t="s">
        <v>794</v>
      </c>
      <c r="D434" s="140"/>
      <c r="E434" s="11" t="s">
        <v>102</v>
      </c>
      <c r="F434" s="12">
        <v>4</v>
      </c>
      <c r="G434" s="12">
        <v>12.92</v>
      </c>
      <c r="H434" s="12">
        <v>16.48</v>
      </c>
      <c r="I434" s="13">
        <f t="shared" si="28"/>
        <v>51.68</v>
      </c>
      <c r="J434" s="13">
        <f t="shared" si="29"/>
        <v>65.92</v>
      </c>
    </row>
    <row r="435" spans="1:10" s="1" customFormat="1" ht="25.5" customHeight="1" x14ac:dyDescent="0.2">
      <c r="A435" s="22" t="s">
        <v>308</v>
      </c>
      <c r="B435" s="11" t="s">
        <v>795</v>
      </c>
      <c r="C435" s="139" t="s">
        <v>796</v>
      </c>
      <c r="D435" s="140"/>
      <c r="E435" s="11" t="s">
        <v>102</v>
      </c>
      <c r="F435" s="12">
        <v>18</v>
      </c>
      <c r="G435" s="12">
        <v>3.73</v>
      </c>
      <c r="H435" s="12">
        <v>4.76</v>
      </c>
      <c r="I435" s="13">
        <f t="shared" si="28"/>
        <v>67.14</v>
      </c>
      <c r="J435" s="13">
        <f t="shared" si="29"/>
        <v>85.679999999999993</v>
      </c>
    </row>
    <row r="436" spans="1:10" s="1" customFormat="1" ht="25.5" customHeight="1" x14ac:dyDescent="0.2">
      <c r="A436" s="22" t="s">
        <v>308</v>
      </c>
      <c r="B436" s="11" t="s">
        <v>797</v>
      </c>
      <c r="C436" s="139" t="s">
        <v>798</v>
      </c>
      <c r="D436" s="140"/>
      <c r="E436" s="11" t="s">
        <v>102</v>
      </c>
      <c r="F436" s="12">
        <v>6</v>
      </c>
      <c r="G436" s="12">
        <v>3.01</v>
      </c>
      <c r="H436" s="12">
        <v>3.84</v>
      </c>
      <c r="I436" s="13">
        <f t="shared" si="28"/>
        <v>18.059999999999999</v>
      </c>
      <c r="J436" s="13">
        <f t="shared" si="29"/>
        <v>23.04</v>
      </c>
    </row>
    <row r="437" spans="1:10" s="1" customFormat="1" ht="25.5" customHeight="1" x14ac:dyDescent="0.2">
      <c r="A437" s="8"/>
      <c r="B437" s="26">
        <v>44139</v>
      </c>
      <c r="C437" s="137" t="s">
        <v>799</v>
      </c>
      <c r="D437" s="138"/>
      <c r="E437" s="8"/>
      <c r="F437" s="8"/>
      <c r="G437" s="8"/>
      <c r="H437" s="8"/>
      <c r="I437" s="13">
        <f t="shared" si="28"/>
        <v>0</v>
      </c>
      <c r="J437" s="13">
        <f t="shared" si="29"/>
        <v>0</v>
      </c>
    </row>
    <row r="438" spans="1:10" s="1" customFormat="1" ht="25.5" customHeight="1" x14ac:dyDescent="0.2">
      <c r="A438" s="19">
        <v>98108</v>
      </c>
      <c r="B438" s="11" t="s">
        <v>800</v>
      </c>
      <c r="C438" s="139" t="s">
        <v>801</v>
      </c>
      <c r="D438" s="140"/>
      <c r="E438" s="11" t="s">
        <v>102</v>
      </c>
      <c r="F438" s="12">
        <v>1</v>
      </c>
      <c r="G438" s="12">
        <v>347.61</v>
      </c>
      <c r="H438" s="12">
        <v>443.52</v>
      </c>
      <c r="I438" s="13">
        <f t="shared" si="28"/>
        <v>347.61</v>
      </c>
      <c r="J438" s="13">
        <f t="shared" si="29"/>
        <v>443.52</v>
      </c>
    </row>
    <row r="439" spans="1:10" s="1" customFormat="1" ht="25.5" customHeight="1" x14ac:dyDescent="0.2">
      <c r="A439" s="19">
        <v>98106</v>
      </c>
      <c r="B439" s="11" t="s">
        <v>802</v>
      </c>
      <c r="C439" s="139" t="s">
        <v>803</v>
      </c>
      <c r="D439" s="140"/>
      <c r="E439" s="11" t="s">
        <v>102</v>
      </c>
      <c r="F439" s="12">
        <v>1</v>
      </c>
      <c r="G439" s="12">
        <v>786.65</v>
      </c>
      <c r="H439" s="13">
        <v>1003.69</v>
      </c>
      <c r="I439" s="13">
        <f t="shared" si="28"/>
        <v>786.65</v>
      </c>
      <c r="J439" s="13">
        <f t="shared" si="29"/>
        <v>1003.69</v>
      </c>
    </row>
    <row r="440" spans="1:10" s="1" customFormat="1" ht="25.5" customHeight="1" x14ac:dyDescent="0.2">
      <c r="A440" s="22" t="s">
        <v>308</v>
      </c>
      <c r="B440" s="11" t="s">
        <v>804</v>
      </c>
      <c r="C440" s="139" t="s">
        <v>805</v>
      </c>
      <c r="D440" s="140"/>
      <c r="E440" s="11" t="s">
        <v>102</v>
      </c>
      <c r="F440" s="12">
        <v>2</v>
      </c>
      <c r="G440" s="12">
        <v>205.99</v>
      </c>
      <c r="H440" s="12">
        <v>262.82</v>
      </c>
      <c r="I440" s="13">
        <f t="shared" si="28"/>
        <v>411.98</v>
      </c>
      <c r="J440" s="13">
        <f t="shared" si="29"/>
        <v>525.64</v>
      </c>
    </row>
    <row r="441" spans="1:10" s="1" customFormat="1" ht="25.5" customHeight="1" x14ac:dyDescent="0.2">
      <c r="A441" s="8"/>
      <c r="B441" s="26">
        <v>44140</v>
      </c>
      <c r="C441" s="137" t="s">
        <v>806</v>
      </c>
      <c r="D441" s="138"/>
      <c r="E441" s="8"/>
      <c r="F441" s="8"/>
      <c r="G441" s="8"/>
      <c r="H441" s="8"/>
      <c r="I441" s="13">
        <f t="shared" si="28"/>
        <v>0</v>
      </c>
      <c r="J441" s="13">
        <f t="shared" si="29"/>
        <v>0</v>
      </c>
    </row>
    <row r="442" spans="1:10" s="1" customFormat="1" ht="25.5" customHeight="1" x14ac:dyDescent="0.2">
      <c r="A442" s="19">
        <v>39320</v>
      </c>
      <c r="B442" s="11" t="s">
        <v>807</v>
      </c>
      <c r="C442" s="139" t="s">
        <v>808</v>
      </c>
      <c r="D442" s="140"/>
      <c r="E442" s="11" t="s">
        <v>102</v>
      </c>
      <c r="F442" s="12">
        <v>9</v>
      </c>
      <c r="G442" s="12">
        <v>5.18</v>
      </c>
      <c r="H442" s="12">
        <v>6.61</v>
      </c>
      <c r="I442" s="13">
        <f t="shared" si="28"/>
        <v>46.62</v>
      </c>
      <c r="J442" s="13">
        <f t="shared" si="29"/>
        <v>59.49</v>
      </c>
    </row>
    <row r="443" spans="1:10" s="1" customFormat="1" ht="25.5" customHeight="1" x14ac:dyDescent="0.2">
      <c r="A443" s="19">
        <v>39319</v>
      </c>
      <c r="B443" s="11" t="s">
        <v>809</v>
      </c>
      <c r="C443" s="139" t="s">
        <v>810</v>
      </c>
      <c r="D443" s="140"/>
      <c r="E443" s="11" t="s">
        <v>102</v>
      </c>
      <c r="F443" s="12">
        <v>6</v>
      </c>
      <c r="G443" s="12">
        <v>4.34</v>
      </c>
      <c r="H443" s="12">
        <v>5.54</v>
      </c>
      <c r="I443" s="13">
        <f t="shared" ref="I443:I450" si="30">F443*G443</f>
        <v>26.04</v>
      </c>
      <c r="J443" s="13">
        <f t="shared" ref="J443:J450" si="31">F443*H443</f>
        <v>33.24</v>
      </c>
    </row>
    <row r="444" spans="1:10" s="1" customFormat="1" ht="25.5" customHeight="1" x14ac:dyDescent="0.2">
      <c r="A444" s="8"/>
      <c r="B444" s="26">
        <v>44141</v>
      </c>
      <c r="C444" s="137" t="s">
        <v>811</v>
      </c>
      <c r="D444" s="138"/>
      <c r="E444" s="8"/>
      <c r="F444" s="8"/>
      <c r="G444" s="8"/>
      <c r="H444" s="8"/>
      <c r="I444" s="13">
        <f t="shared" si="30"/>
        <v>0</v>
      </c>
      <c r="J444" s="13">
        <f t="shared" si="31"/>
        <v>0</v>
      </c>
    </row>
    <row r="445" spans="1:10" s="1" customFormat="1" ht="25.5" customHeight="1" x14ac:dyDescent="0.2">
      <c r="A445" s="27" t="s">
        <v>78</v>
      </c>
      <c r="B445" s="11" t="s">
        <v>812</v>
      </c>
      <c r="C445" s="139" t="s">
        <v>813</v>
      </c>
      <c r="D445" s="140"/>
      <c r="E445" s="11" t="s">
        <v>102</v>
      </c>
      <c r="F445" s="12">
        <v>11</v>
      </c>
      <c r="G445" s="12">
        <v>376.56</v>
      </c>
      <c r="H445" s="12">
        <v>480.45</v>
      </c>
      <c r="I445" s="13">
        <f t="shared" si="30"/>
        <v>4142.16</v>
      </c>
      <c r="J445" s="13">
        <f t="shared" si="31"/>
        <v>5284.95</v>
      </c>
    </row>
    <row r="446" spans="1:10" s="1" customFormat="1" ht="25.5" customHeight="1" x14ac:dyDescent="0.2">
      <c r="A446" s="22" t="s">
        <v>308</v>
      </c>
      <c r="B446" s="11" t="s">
        <v>814</v>
      </c>
      <c r="C446" s="139" t="s">
        <v>815</v>
      </c>
      <c r="D446" s="140"/>
      <c r="E446" s="11" t="s">
        <v>102</v>
      </c>
      <c r="F446" s="12">
        <v>13</v>
      </c>
      <c r="G446" s="12">
        <v>205.99</v>
      </c>
      <c r="H446" s="12">
        <v>262.82</v>
      </c>
      <c r="I446" s="13">
        <f t="shared" si="30"/>
        <v>2677.87</v>
      </c>
      <c r="J446" s="13">
        <f t="shared" si="31"/>
        <v>3416.66</v>
      </c>
    </row>
    <row r="447" spans="1:10" s="1" customFormat="1" ht="25.5" customHeight="1" x14ac:dyDescent="0.2">
      <c r="A447" s="27" t="s">
        <v>78</v>
      </c>
      <c r="B447" s="11" t="s">
        <v>816</v>
      </c>
      <c r="C447" s="139" t="s">
        <v>817</v>
      </c>
      <c r="D447" s="140"/>
      <c r="E447" s="11" t="s">
        <v>102</v>
      </c>
      <c r="F447" s="12">
        <v>2</v>
      </c>
      <c r="G447" s="12">
        <v>472.96</v>
      </c>
      <c r="H447" s="12">
        <v>603.45000000000005</v>
      </c>
      <c r="I447" s="13">
        <f t="shared" si="30"/>
        <v>945.92</v>
      </c>
      <c r="J447" s="13">
        <f t="shared" si="31"/>
        <v>1206.9000000000001</v>
      </c>
    </row>
    <row r="448" spans="1:10" s="1" customFormat="1" ht="25.5" customHeight="1" x14ac:dyDescent="0.2">
      <c r="A448" s="8"/>
      <c r="B448" s="26">
        <v>44142</v>
      </c>
      <c r="C448" s="137" t="s">
        <v>703</v>
      </c>
      <c r="D448" s="138"/>
      <c r="E448" s="8"/>
      <c r="F448" s="8"/>
      <c r="G448" s="8"/>
      <c r="H448" s="8"/>
      <c r="I448" s="13">
        <f t="shared" si="30"/>
        <v>0</v>
      </c>
      <c r="J448" s="13">
        <f t="shared" si="31"/>
        <v>0</v>
      </c>
    </row>
    <row r="449" spans="1:11" s="1" customFormat="1" ht="25.5" customHeight="1" x14ac:dyDescent="0.2">
      <c r="A449" s="27" t="s">
        <v>818</v>
      </c>
      <c r="B449" s="11" t="s">
        <v>819</v>
      </c>
      <c r="C449" s="139" t="s">
        <v>820</v>
      </c>
      <c r="D449" s="140"/>
      <c r="E449" s="11" t="s">
        <v>102</v>
      </c>
      <c r="F449" s="12">
        <v>1</v>
      </c>
      <c r="G449" s="13">
        <v>3604.47</v>
      </c>
      <c r="H449" s="13">
        <v>4598.9399999999996</v>
      </c>
      <c r="I449" s="13">
        <f t="shared" si="30"/>
        <v>3604.47</v>
      </c>
      <c r="J449" s="13">
        <f t="shared" si="31"/>
        <v>4598.9399999999996</v>
      </c>
    </row>
    <row r="450" spans="1:11" s="1" customFormat="1" ht="25.5" customHeight="1" x14ac:dyDescent="0.2">
      <c r="A450" s="22" t="s">
        <v>308</v>
      </c>
      <c r="B450" s="11" t="s">
        <v>821</v>
      </c>
      <c r="C450" s="139" t="s">
        <v>822</v>
      </c>
      <c r="D450" s="140"/>
      <c r="E450" s="11" t="s">
        <v>102</v>
      </c>
      <c r="F450" s="12">
        <v>1</v>
      </c>
      <c r="G450" s="12">
        <v>308.99</v>
      </c>
      <c r="H450" s="12">
        <v>394.24</v>
      </c>
      <c r="I450" s="13">
        <f t="shared" si="30"/>
        <v>308.99</v>
      </c>
      <c r="J450" s="13">
        <f t="shared" si="31"/>
        <v>394.24</v>
      </c>
    </row>
    <row r="451" spans="1:11" s="1" customFormat="1" ht="25.5" customHeight="1" x14ac:dyDescent="0.2">
      <c r="A451" s="8"/>
      <c r="B451" s="149" t="s">
        <v>823</v>
      </c>
      <c r="C451" s="150"/>
      <c r="D451" s="150"/>
      <c r="E451" s="150"/>
      <c r="F451" s="150"/>
      <c r="G451" s="151"/>
      <c r="H451" s="8"/>
      <c r="I451" s="14">
        <f>SUM(I379:I450)</f>
        <v>41609.429999999993</v>
      </c>
      <c r="J451" s="15">
        <f>SUM(J379:J450)-0.55</f>
        <v>53089.469999999987</v>
      </c>
      <c r="K451" s="49"/>
    </row>
    <row r="452" spans="1:11" s="1" customFormat="1" ht="25.5" customHeight="1" x14ac:dyDescent="0.2">
      <c r="A452" s="8"/>
      <c r="B452" s="46"/>
      <c r="C452" s="153"/>
      <c r="D452" s="154"/>
      <c r="E452" s="8"/>
      <c r="F452" s="8"/>
      <c r="G452" s="8"/>
      <c r="H452" s="8"/>
      <c r="I452" s="8"/>
      <c r="J452" s="8"/>
    </row>
    <row r="453" spans="1:11" s="1" customFormat="1" ht="25.5" customHeight="1" x14ac:dyDescent="0.2">
      <c r="A453" s="8"/>
      <c r="B453" s="9" t="s">
        <v>824</v>
      </c>
      <c r="C453" s="137" t="s">
        <v>825</v>
      </c>
      <c r="D453" s="138"/>
      <c r="E453" s="8"/>
      <c r="F453" s="8"/>
      <c r="G453" s="8"/>
      <c r="H453" s="8"/>
      <c r="I453" s="8"/>
      <c r="J453" s="8"/>
    </row>
    <row r="454" spans="1:11" s="1" customFormat="1" ht="25.5" customHeight="1" x14ac:dyDescent="0.2">
      <c r="A454" s="8"/>
      <c r="B454" s="9" t="s">
        <v>826</v>
      </c>
      <c r="C454" s="137" t="s">
        <v>827</v>
      </c>
      <c r="D454" s="138"/>
      <c r="E454" s="8"/>
      <c r="F454" s="8"/>
      <c r="G454" s="8"/>
      <c r="H454" s="8"/>
      <c r="I454" s="8"/>
      <c r="J454" s="8"/>
    </row>
    <row r="455" spans="1:11" s="1" customFormat="1" ht="25.5" customHeight="1" x14ac:dyDescent="0.2">
      <c r="A455" s="19">
        <v>96985</v>
      </c>
      <c r="B455" s="21">
        <v>44197</v>
      </c>
      <c r="C455" s="155" t="s">
        <v>863</v>
      </c>
      <c r="D455" s="156"/>
      <c r="E455" s="11" t="s">
        <v>102</v>
      </c>
      <c r="F455" s="12">
        <v>3</v>
      </c>
      <c r="G455" s="12">
        <v>38.270000000000003</v>
      </c>
      <c r="H455" s="12">
        <v>48.83</v>
      </c>
      <c r="I455" s="13">
        <f>F455*G455</f>
        <v>114.81</v>
      </c>
      <c r="J455" s="13">
        <f>F455*H455</f>
        <v>146.49</v>
      </c>
    </row>
    <row r="456" spans="1:11" s="1" customFormat="1" ht="25.5" customHeight="1" x14ac:dyDescent="0.2">
      <c r="A456" s="19">
        <v>98111</v>
      </c>
      <c r="B456" s="21">
        <v>44198</v>
      </c>
      <c r="C456" s="139" t="s">
        <v>828</v>
      </c>
      <c r="D456" s="140"/>
      <c r="E456" s="11" t="s">
        <v>102</v>
      </c>
      <c r="F456" s="12">
        <v>1</v>
      </c>
      <c r="G456" s="12">
        <v>17.170000000000002</v>
      </c>
      <c r="H456" s="12">
        <v>21.91</v>
      </c>
      <c r="I456" s="13">
        <f>F456*G456</f>
        <v>17.170000000000002</v>
      </c>
      <c r="J456" s="13">
        <f>F456*H456</f>
        <v>21.91</v>
      </c>
    </row>
    <row r="457" spans="1:11" s="1" customFormat="1" ht="25.5" customHeight="1" x14ac:dyDescent="0.2">
      <c r="A457" s="19">
        <v>39862</v>
      </c>
      <c r="B457" s="21">
        <v>44199</v>
      </c>
      <c r="C457" s="139" t="s">
        <v>829</v>
      </c>
      <c r="D457" s="140"/>
      <c r="E457" s="11" t="s">
        <v>102</v>
      </c>
      <c r="F457" s="12">
        <v>3</v>
      </c>
      <c r="G457" s="12">
        <v>5.62</v>
      </c>
      <c r="H457" s="12">
        <v>7.17</v>
      </c>
      <c r="I457" s="13">
        <f>F457*G457</f>
        <v>16.86</v>
      </c>
      <c r="J457" s="13">
        <f>F457*H457</f>
        <v>21.509999999999998</v>
      </c>
    </row>
    <row r="458" spans="1:11" s="1" customFormat="1" ht="25.5" customHeight="1" x14ac:dyDescent="0.2">
      <c r="A458" s="8"/>
      <c r="B458" s="149" t="s">
        <v>830</v>
      </c>
      <c r="C458" s="150"/>
      <c r="D458" s="150"/>
      <c r="E458" s="150"/>
      <c r="F458" s="150"/>
      <c r="G458" s="151"/>
      <c r="H458" s="8"/>
      <c r="I458" s="28">
        <f>SUM(I455:I457)</f>
        <v>148.84000000000003</v>
      </c>
      <c r="J458" s="28">
        <f>SUM(J455:J457)</f>
        <v>189.91</v>
      </c>
    </row>
    <row r="459" spans="1:11" s="1" customFormat="1" ht="25.5" customHeight="1" x14ac:dyDescent="0.2">
      <c r="A459" s="8"/>
      <c r="B459" s="9" t="s">
        <v>831</v>
      </c>
      <c r="C459" s="137" t="s">
        <v>832</v>
      </c>
      <c r="D459" s="138"/>
      <c r="E459" s="8"/>
      <c r="F459" s="8"/>
      <c r="G459" s="8"/>
      <c r="H459" s="8"/>
      <c r="I459" s="8"/>
      <c r="J459" s="8"/>
    </row>
    <row r="460" spans="1:11" s="1" customFormat="1" ht="25.5" customHeight="1" x14ac:dyDescent="0.2">
      <c r="A460" s="19">
        <v>96974</v>
      </c>
      <c r="B460" s="21">
        <v>44228</v>
      </c>
      <c r="C460" s="139" t="s">
        <v>833</v>
      </c>
      <c r="D460" s="140"/>
      <c r="E460" s="11" t="s">
        <v>81</v>
      </c>
      <c r="F460" s="12">
        <v>15</v>
      </c>
      <c r="G460" s="12">
        <v>36.83</v>
      </c>
      <c r="H460" s="12">
        <v>46.99</v>
      </c>
      <c r="I460" s="13">
        <f>F460*G460</f>
        <v>552.44999999999993</v>
      </c>
      <c r="J460" s="13">
        <f>F460*H460</f>
        <v>704.85</v>
      </c>
    </row>
    <row r="461" spans="1:11" s="1" customFormat="1" ht="25.5" customHeight="1" x14ac:dyDescent="0.2">
      <c r="A461" s="19">
        <v>96973</v>
      </c>
      <c r="B461" s="21">
        <v>44229</v>
      </c>
      <c r="C461" s="139" t="s">
        <v>834</v>
      </c>
      <c r="D461" s="140"/>
      <c r="E461" s="11" t="s">
        <v>81</v>
      </c>
      <c r="F461" s="12">
        <v>8</v>
      </c>
      <c r="G461" s="12">
        <v>29.32</v>
      </c>
      <c r="H461" s="12">
        <v>37.409999999999997</v>
      </c>
      <c r="I461" s="13">
        <f>F461*G461</f>
        <v>234.56</v>
      </c>
      <c r="J461" s="13">
        <f>F461*H461</f>
        <v>299.27999999999997</v>
      </c>
    </row>
    <row r="462" spans="1:11" s="1" customFormat="1" ht="25.5" customHeight="1" x14ac:dyDescent="0.2">
      <c r="A462" s="8"/>
      <c r="B462" s="149" t="s">
        <v>835</v>
      </c>
      <c r="C462" s="150"/>
      <c r="D462" s="150"/>
      <c r="E462" s="150"/>
      <c r="F462" s="150"/>
      <c r="G462" s="151"/>
      <c r="H462" s="8"/>
      <c r="I462" s="28">
        <f>SUM(I460:I461)</f>
        <v>787.01</v>
      </c>
      <c r="J462" s="28">
        <f>SUM(J460:J461)</f>
        <v>1004.13</v>
      </c>
    </row>
    <row r="463" spans="1:11" s="1" customFormat="1" ht="25.5" customHeight="1" x14ac:dyDescent="0.2">
      <c r="A463" s="8"/>
      <c r="B463" s="9" t="s">
        <v>836</v>
      </c>
      <c r="C463" s="137" t="s">
        <v>837</v>
      </c>
      <c r="D463" s="138"/>
      <c r="E463" s="8"/>
      <c r="F463" s="8"/>
      <c r="G463" s="8"/>
      <c r="H463" s="8"/>
      <c r="I463" s="8"/>
      <c r="J463" s="8"/>
    </row>
    <row r="464" spans="1:11" s="1" customFormat="1" ht="25.5" customHeight="1" x14ac:dyDescent="0.2">
      <c r="A464" s="2" t="s">
        <v>838</v>
      </c>
      <c r="B464" s="21">
        <v>44256</v>
      </c>
      <c r="C464" s="139" t="s">
        <v>839</v>
      </c>
      <c r="D464" s="140"/>
      <c r="E464" s="11" t="s">
        <v>102</v>
      </c>
      <c r="F464" s="12">
        <v>1</v>
      </c>
      <c r="G464" s="13">
        <v>1679.04</v>
      </c>
      <c r="H464" s="13">
        <v>2142.29</v>
      </c>
      <c r="I464" s="13">
        <f t="shared" ref="I464:I469" si="32">F464*G464</f>
        <v>1679.04</v>
      </c>
      <c r="J464" s="13">
        <f t="shared" ref="J464:J469" si="33">F464*H464</f>
        <v>2142.29</v>
      </c>
    </row>
    <row r="465" spans="1:10" s="1" customFormat="1" ht="25.5" customHeight="1" x14ac:dyDescent="0.2">
      <c r="A465" s="27" t="s">
        <v>840</v>
      </c>
      <c r="B465" s="21">
        <v>44257</v>
      </c>
      <c r="C465" s="139" t="s">
        <v>841</v>
      </c>
      <c r="D465" s="140"/>
      <c r="E465" s="11" t="s">
        <v>102</v>
      </c>
      <c r="F465" s="12">
        <v>1</v>
      </c>
      <c r="G465" s="12">
        <v>214.05</v>
      </c>
      <c r="H465" s="12">
        <v>273.10000000000002</v>
      </c>
      <c r="I465" s="13">
        <f t="shared" si="32"/>
        <v>214.05</v>
      </c>
      <c r="J465" s="13">
        <f t="shared" si="33"/>
        <v>273.10000000000002</v>
      </c>
    </row>
    <row r="466" spans="1:10" s="1" customFormat="1" ht="25.5" customHeight="1" x14ac:dyDescent="0.2">
      <c r="A466" s="27" t="s">
        <v>842</v>
      </c>
      <c r="B466" s="21">
        <v>44258</v>
      </c>
      <c r="C466" s="139" t="s">
        <v>843</v>
      </c>
      <c r="D466" s="140"/>
      <c r="E466" s="11" t="s">
        <v>102</v>
      </c>
      <c r="F466" s="12">
        <v>2</v>
      </c>
      <c r="G466" s="12">
        <v>320</v>
      </c>
      <c r="H466" s="12">
        <v>408.28</v>
      </c>
      <c r="I466" s="13">
        <f t="shared" si="32"/>
        <v>640</v>
      </c>
      <c r="J466" s="13">
        <f t="shared" si="33"/>
        <v>816.56</v>
      </c>
    </row>
    <row r="467" spans="1:10" s="1" customFormat="1" ht="25.5" customHeight="1" x14ac:dyDescent="0.2">
      <c r="A467" s="27" t="s">
        <v>842</v>
      </c>
      <c r="B467" s="21">
        <v>44259</v>
      </c>
      <c r="C467" s="139" t="s">
        <v>844</v>
      </c>
      <c r="D467" s="140"/>
      <c r="E467" s="11" t="s">
        <v>102</v>
      </c>
      <c r="F467" s="12">
        <v>1</v>
      </c>
      <c r="G467" s="12">
        <v>320</v>
      </c>
      <c r="H467" s="12">
        <v>408.28</v>
      </c>
      <c r="I467" s="13">
        <f t="shared" si="32"/>
        <v>320</v>
      </c>
      <c r="J467" s="13">
        <f t="shared" si="33"/>
        <v>408.28</v>
      </c>
    </row>
    <row r="468" spans="1:10" s="1" customFormat="1" ht="25.5" customHeight="1" x14ac:dyDescent="0.2">
      <c r="A468" s="27" t="s">
        <v>842</v>
      </c>
      <c r="B468" s="21">
        <v>44260</v>
      </c>
      <c r="C468" s="139" t="s">
        <v>845</v>
      </c>
      <c r="D468" s="140"/>
      <c r="E468" s="11" t="s">
        <v>102</v>
      </c>
      <c r="F468" s="12">
        <v>1</v>
      </c>
      <c r="G468" s="12">
        <v>320</v>
      </c>
      <c r="H468" s="12">
        <v>408.28</v>
      </c>
      <c r="I468" s="13">
        <f t="shared" si="32"/>
        <v>320</v>
      </c>
      <c r="J468" s="13">
        <f t="shared" si="33"/>
        <v>408.28</v>
      </c>
    </row>
    <row r="469" spans="1:10" s="1" customFormat="1" ht="25.5" customHeight="1" x14ac:dyDescent="0.2">
      <c r="A469" s="22" t="s">
        <v>308</v>
      </c>
      <c r="B469" s="21">
        <v>44261</v>
      </c>
      <c r="C469" s="139" t="s">
        <v>846</v>
      </c>
      <c r="D469" s="140"/>
      <c r="E469" s="11" t="s">
        <v>102</v>
      </c>
      <c r="F469" s="12">
        <v>1</v>
      </c>
      <c r="G469" s="12">
        <v>282.57</v>
      </c>
      <c r="H469" s="12">
        <v>360.53</v>
      </c>
      <c r="I469" s="13">
        <f t="shared" si="32"/>
        <v>282.57</v>
      </c>
      <c r="J469" s="13">
        <f t="shared" si="33"/>
        <v>360.53</v>
      </c>
    </row>
    <row r="470" spans="1:10" s="1" customFormat="1" ht="25.5" customHeight="1" x14ac:dyDescent="0.2">
      <c r="A470" s="8"/>
      <c r="B470" s="149" t="s">
        <v>847</v>
      </c>
      <c r="C470" s="150"/>
      <c r="D470" s="150"/>
      <c r="E470" s="150"/>
      <c r="F470" s="150"/>
      <c r="G470" s="151"/>
      <c r="H470" s="8"/>
      <c r="I470" s="28">
        <f>SUM(I464:I469)</f>
        <v>3455.6600000000003</v>
      </c>
      <c r="J470" s="28">
        <f>SUM(J464:J469)</f>
        <v>4409.0399999999991</v>
      </c>
    </row>
    <row r="471" spans="1:10" s="1" customFormat="1" ht="25.5" customHeight="1" x14ac:dyDescent="0.2">
      <c r="A471" s="8"/>
      <c r="B471" s="9" t="s">
        <v>848</v>
      </c>
      <c r="C471" s="137" t="s">
        <v>849</v>
      </c>
      <c r="D471" s="138"/>
      <c r="E471" s="8"/>
      <c r="F471" s="8"/>
      <c r="G471" s="8"/>
      <c r="H471" s="8"/>
      <c r="I471" s="8"/>
      <c r="J471" s="8"/>
    </row>
    <row r="472" spans="1:10" s="1" customFormat="1" ht="25.5" customHeight="1" x14ac:dyDescent="0.2">
      <c r="A472" s="27" t="s">
        <v>842</v>
      </c>
      <c r="B472" s="21">
        <v>44287</v>
      </c>
      <c r="C472" s="139" t="s">
        <v>850</v>
      </c>
      <c r="D472" s="140"/>
      <c r="E472" s="11" t="s">
        <v>102</v>
      </c>
      <c r="F472" s="12">
        <v>2</v>
      </c>
      <c r="G472" s="12">
        <v>320</v>
      </c>
      <c r="H472" s="12">
        <v>408.28</v>
      </c>
      <c r="I472" s="13">
        <f>F472*G472</f>
        <v>640</v>
      </c>
      <c r="J472" s="13">
        <f>F472*H472</f>
        <v>816.56</v>
      </c>
    </row>
    <row r="473" spans="1:10" s="1" customFormat="1" ht="25.5" customHeight="1" x14ac:dyDescent="0.2">
      <c r="A473" s="27" t="s">
        <v>851</v>
      </c>
      <c r="B473" s="21">
        <v>44288</v>
      </c>
      <c r="C473" s="139" t="s">
        <v>852</v>
      </c>
      <c r="D473" s="140"/>
      <c r="E473" s="11" t="s">
        <v>102</v>
      </c>
      <c r="F473" s="12">
        <v>1</v>
      </c>
      <c r="G473" s="12">
        <v>950.49</v>
      </c>
      <c r="H473" s="13">
        <v>1212.73</v>
      </c>
      <c r="I473" s="13">
        <f>F473*G473</f>
        <v>950.49</v>
      </c>
      <c r="J473" s="13">
        <f>F473*H473</f>
        <v>1212.73</v>
      </c>
    </row>
    <row r="474" spans="1:10" s="1" customFormat="1" ht="25.5" customHeight="1" x14ac:dyDescent="0.2">
      <c r="A474" s="29" t="s">
        <v>853</v>
      </c>
      <c r="B474" s="30">
        <v>44289</v>
      </c>
      <c r="C474" s="155" t="s">
        <v>864</v>
      </c>
      <c r="D474" s="156"/>
      <c r="E474" s="31" t="s">
        <v>102</v>
      </c>
      <c r="F474" s="32">
        <v>1</v>
      </c>
      <c r="G474" s="33">
        <v>1309.99</v>
      </c>
      <c r="H474" s="33">
        <v>1671.41</v>
      </c>
      <c r="I474" s="13">
        <f>F474*G474</f>
        <v>1309.99</v>
      </c>
      <c r="J474" s="13">
        <f>F474*H474</f>
        <v>1671.41</v>
      </c>
    </row>
    <row r="475" spans="1:10" s="1" customFormat="1" ht="25.5" customHeight="1" x14ac:dyDescent="0.2">
      <c r="A475" s="8"/>
      <c r="B475" s="149" t="s">
        <v>854</v>
      </c>
      <c r="C475" s="150"/>
      <c r="D475" s="150"/>
      <c r="E475" s="150"/>
      <c r="F475" s="150"/>
      <c r="G475" s="151"/>
      <c r="H475" s="8"/>
      <c r="I475" s="28">
        <f>SUM(I472:I474)</f>
        <v>2900.48</v>
      </c>
      <c r="J475" s="28">
        <f>SUM(J472:J474)</f>
        <v>3700.7</v>
      </c>
    </row>
    <row r="476" spans="1:10" s="1" customFormat="1" ht="25.5" customHeight="1" x14ac:dyDescent="0.2">
      <c r="A476" s="8"/>
      <c r="B476" s="153"/>
      <c r="C476" s="157"/>
      <c r="D476" s="157"/>
      <c r="E476" s="157"/>
      <c r="F476" s="157"/>
      <c r="G476" s="157"/>
      <c r="H476" s="157"/>
      <c r="I476" s="154"/>
      <c r="J476" s="8"/>
    </row>
    <row r="477" spans="1:10" s="1" customFormat="1" ht="25.5" customHeight="1" x14ac:dyDescent="0.2">
      <c r="A477" s="8"/>
      <c r="B477" s="9" t="s">
        <v>855</v>
      </c>
      <c r="C477" s="137" t="s">
        <v>856</v>
      </c>
      <c r="D477" s="138"/>
      <c r="E477" s="8"/>
      <c r="F477" s="8"/>
      <c r="G477" s="8"/>
      <c r="H477" s="8"/>
      <c r="I477" s="8"/>
      <c r="J477" s="8"/>
    </row>
    <row r="478" spans="1:10" s="1" customFormat="1" ht="25.5" customHeight="1" x14ac:dyDescent="0.2">
      <c r="A478" s="19">
        <v>2504</v>
      </c>
      <c r="B478" s="21">
        <v>44317</v>
      </c>
      <c r="C478" s="139" t="s">
        <v>857</v>
      </c>
      <c r="D478" s="140"/>
      <c r="E478" s="11" t="s">
        <v>81</v>
      </c>
      <c r="F478" s="12">
        <v>160</v>
      </c>
      <c r="G478" s="12">
        <v>5.51</v>
      </c>
      <c r="H478" s="12">
        <v>7.03</v>
      </c>
      <c r="I478" s="13">
        <f t="shared" ref="I478:I489" si="34">F478*G478</f>
        <v>881.59999999999991</v>
      </c>
      <c r="J478" s="13">
        <f t="shared" ref="J478:J489" si="35">F478*H478</f>
        <v>1124.8</v>
      </c>
    </row>
    <row r="479" spans="1:10" s="1" customFormat="1" ht="25.5" customHeight="1" x14ac:dyDescent="0.2">
      <c r="A479" s="19">
        <v>91844</v>
      </c>
      <c r="B479" s="21">
        <v>44318</v>
      </c>
      <c r="C479" s="139" t="s">
        <v>858</v>
      </c>
      <c r="D479" s="140"/>
      <c r="E479" s="11" t="s">
        <v>81</v>
      </c>
      <c r="F479" s="13">
        <v>1250</v>
      </c>
      <c r="G479" s="12">
        <v>4.1500000000000004</v>
      </c>
      <c r="H479" s="12">
        <v>5.29</v>
      </c>
      <c r="I479" s="13">
        <f t="shared" si="34"/>
        <v>5187.5</v>
      </c>
      <c r="J479" s="13">
        <f t="shared" si="35"/>
        <v>6612.5</v>
      </c>
    </row>
    <row r="480" spans="1:10" s="1" customFormat="1" ht="25.5" customHeight="1" x14ac:dyDescent="0.2">
      <c r="A480" s="19">
        <v>91846</v>
      </c>
      <c r="B480" s="21">
        <v>44319</v>
      </c>
      <c r="C480" s="139" t="s">
        <v>859</v>
      </c>
      <c r="D480" s="140"/>
      <c r="E480" s="11" t="s">
        <v>81</v>
      </c>
      <c r="F480" s="12">
        <v>200</v>
      </c>
      <c r="G480" s="12">
        <v>5.77</v>
      </c>
      <c r="H480" s="12">
        <v>7.36</v>
      </c>
      <c r="I480" s="13">
        <f t="shared" si="34"/>
        <v>1154</v>
      </c>
      <c r="J480" s="13">
        <f t="shared" si="35"/>
        <v>1472</v>
      </c>
    </row>
    <row r="481" spans="1:10" s="1" customFormat="1" ht="25.5" customHeight="1" x14ac:dyDescent="0.2">
      <c r="A481" s="27" t="s">
        <v>78</v>
      </c>
      <c r="B481" s="21">
        <v>44320</v>
      </c>
      <c r="C481" s="139" t="s">
        <v>860</v>
      </c>
      <c r="D481" s="140"/>
      <c r="E481" s="11" t="s">
        <v>102</v>
      </c>
      <c r="F481" s="12">
        <v>25</v>
      </c>
      <c r="G481" s="12">
        <v>44.63</v>
      </c>
      <c r="H481" s="12">
        <v>56.94</v>
      </c>
      <c r="I481" s="13">
        <f t="shared" si="34"/>
        <v>1115.75</v>
      </c>
      <c r="J481" s="13">
        <f t="shared" si="35"/>
        <v>1423.5</v>
      </c>
    </row>
    <row r="482" spans="1:10" s="1" customFormat="1" ht="25.5" customHeight="1" x14ac:dyDescent="0.2">
      <c r="A482" s="19">
        <v>39246</v>
      </c>
      <c r="B482" s="21">
        <v>44321</v>
      </c>
      <c r="C482" s="139" t="s">
        <v>861</v>
      </c>
      <c r="D482" s="140"/>
      <c r="E482" s="11" t="s">
        <v>81</v>
      </c>
      <c r="F482" s="12">
        <v>30</v>
      </c>
      <c r="G482" s="12">
        <v>2.0299999999999998</v>
      </c>
      <c r="H482" s="12">
        <v>2.6</v>
      </c>
      <c r="I482" s="13">
        <f t="shared" si="34"/>
        <v>60.899999999999991</v>
      </c>
      <c r="J482" s="13">
        <f t="shared" si="35"/>
        <v>78</v>
      </c>
    </row>
    <row r="483" spans="1:10" s="1" customFormat="1" ht="25.5" customHeight="1" x14ac:dyDescent="0.2">
      <c r="A483" s="19">
        <v>2446</v>
      </c>
      <c r="B483" s="21">
        <v>44322</v>
      </c>
      <c r="C483" s="139" t="s">
        <v>862</v>
      </c>
      <c r="D483" s="140"/>
      <c r="E483" s="11" t="s">
        <v>81</v>
      </c>
      <c r="F483" s="12">
        <v>55</v>
      </c>
      <c r="G483" s="12">
        <v>2.93</v>
      </c>
      <c r="H483" s="12">
        <v>3.73</v>
      </c>
      <c r="I483" s="13">
        <f t="shared" si="34"/>
        <v>161.15</v>
      </c>
      <c r="J483" s="13">
        <f t="shared" si="35"/>
        <v>205.15</v>
      </c>
    </row>
    <row r="484" spans="1:10" s="1" customFormat="1" ht="25.5" customHeight="1" x14ac:dyDescent="0.2">
      <c r="A484" s="10">
        <v>2442</v>
      </c>
      <c r="B484" s="21">
        <v>44323</v>
      </c>
      <c r="C484" s="139" t="s">
        <v>865</v>
      </c>
      <c r="D484" s="140"/>
      <c r="E484" s="11" t="s">
        <v>81</v>
      </c>
      <c r="F484" s="12">
        <v>60</v>
      </c>
      <c r="G484" s="12">
        <v>4.0999999999999996</v>
      </c>
      <c r="H484" s="12">
        <v>5.22</v>
      </c>
      <c r="I484" s="13">
        <f t="shared" si="34"/>
        <v>245.99999999999997</v>
      </c>
      <c r="J484" s="13">
        <f t="shared" si="35"/>
        <v>313.2</v>
      </c>
    </row>
    <row r="485" spans="1:10" s="1" customFormat="1" ht="25.5" customHeight="1" x14ac:dyDescent="0.2">
      <c r="A485" s="10">
        <v>39248</v>
      </c>
      <c r="B485" s="21">
        <v>44324</v>
      </c>
      <c r="C485" s="139" t="s">
        <v>866</v>
      </c>
      <c r="D485" s="140"/>
      <c r="E485" s="11" t="s">
        <v>81</v>
      </c>
      <c r="F485" s="12">
        <v>60</v>
      </c>
      <c r="G485" s="12">
        <v>5.71</v>
      </c>
      <c r="H485" s="12">
        <v>7.28</v>
      </c>
      <c r="I485" s="13">
        <f t="shared" si="34"/>
        <v>342.6</v>
      </c>
      <c r="J485" s="13">
        <f t="shared" si="35"/>
        <v>436.8</v>
      </c>
    </row>
    <row r="486" spans="1:10" s="1" customFormat="1" ht="25.5" customHeight="1" x14ac:dyDescent="0.2">
      <c r="A486" s="11" t="s">
        <v>308</v>
      </c>
      <c r="B486" s="21">
        <v>44325</v>
      </c>
      <c r="C486" s="139" t="s">
        <v>867</v>
      </c>
      <c r="D486" s="140"/>
      <c r="E486" s="11" t="s">
        <v>81</v>
      </c>
      <c r="F486" s="12">
        <v>200</v>
      </c>
      <c r="G486" s="12">
        <v>9.8699999999999992</v>
      </c>
      <c r="H486" s="12">
        <v>12.59</v>
      </c>
      <c r="I486" s="13">
        <f t="shared" si="34"/>
        <v>1973.9999999999998</v>
      </c>
      <c r="J486" s="13">
        <f t="shared" si="35"/>
        <v>2518</v>
      </c>
    </row>
    <row r="487" spans="1:10" s="1" customFormat="1" ht="25.5" customHeight="1" x14ac:dyDescent="0.2">
      <c r="A487" s="10">
        <v>39272</v>
      </c>
      <c r="B487" s="34">
        <v>40319</v>
      </c>
      <c r="C487" s="139" t="s">
        <v>868</v>
      </c>
      <c r="D487" s="140"/>
      <c r="E487" s="11" t="s">
        <v>102</v>
      </c>
      <c r="F487" s="12">
        <v>180</v>
      </c>
      <c r="G487" s="12">
        <v>1.47</v>
      </c>
      <c r="H487" s="12">
        <v>1.87</v>
      </c>
      <c r="I487" s="13">
        <f t="shared" si="34"/>
        <v>264.60000000000002</v>
      </c>
      <c r="J487" s="13">
        <f t="shared" si="35"/>
        <v>336.6</v>
      </c>
    </row>
    <row r="488" spans="1:10" s="1" customFormat="1" ht="25.5" customHeight="1" x14ac:dyDescent="0.2">
      <c r="A488" s="11" t="s">
        <v>308</v>
      </c>
      <c r="B488" s="34">
        <v>40684</v>
      </c>
      <c r="C488" s="139" t="s">
        <v>869</v>
      </c>
      <c r="D488" s="140"/>
      <c r="E488" s="11" t="s">
        <v>102</v>
      </c>
      <c r="F488" s="12">
        <v>800</v>
      </c>
      <c r="G488" s="12">
        <v>1.1200000000000001</v>
      </c>
      <c r="H488" s="12">
        <v>1.43</v>
      </c>
      <c r="I488" s="13">
        <f t="shared" si="34"/>
        <v>896.00000000000011</v>
      </c>
      <c r="J488" s="13">
        <f t="shared" si="35"/>
        <v>1144</v>
      </c>
    </row>
    <row r="489" spans="1:10" s="1" customFormat="1" ht="25.5" customHeight="1" x14ac:dyDescent="0.2">
      <c r="A489" s="11" t="s">
        <v>308</v>
      </c>
      <c r="B489" s="34">
        <v>41050</v>
      </c>
      <c r="C489" s="139" t="s">
        <v>870</v>
      </c>
      <c r="D489" s="140"/>
      <c r="E489" s="11" t="s">
        <v>102</v>
      </c>
      <c r="F489" s="12">
        <v>120</v>
      </c>
      <c r="G489" s="12">
        <v>2.2400000000000002</v>
      </c>
      <c r="H489" s="12">
        <v>2.86</v>
      </c>
      <c r="I489" s="13">
        <f t="shared" si="34"/>
        <v>268.8</v>
      </c>
      <c r="J489" s="13">
        <f t="shared" si="35"/>
        <v>343.2</v>
      </c>
    </row>
    <row r="490" spans="1:10" s="1" customFormat="1" ht="25.5" customHeight="1" x14ac:dyDescent="0.2">
      <c r="A490" s="8"/>
      <c r="B490" s="149" t="s">
        <v>871</v>
      </c>
      <c r="C490" s="150"/>
      <c r="D490" s="150"/>
      <c r="E490" s="150"/>
      <c r="F490" s="150"/>
      <c r="G490" s="151"/>
      <c r="H490" s="8"/>
      <c r="I490" s="28">
        <f>SUM(I478:I489)</f>
        <v>12552.9</v>
      </c>
      <c r="J490" s="28">
        <f>SUM(J478:J489)</f>
        <v>16007.75</v>
      </c>
    </row>
    <row r="491" spans="1:10" s="1" customFormat="1" ht="25.5" customHeight="1" x14ac:dyDescent="0.2">
      <c r="A491" s="8"/>
      <c r="B491" s="9" t="s">
        <v>872</v>
      </c>
      <c r="C491" s="137" t="s">
        <v>873</v>
      </c>
      <c r="D491" s="138"/>
      <c r="E491" s="8"/>
      <c r="F491" s="8"/>
      <c r="G491" s="8"/>
      <c r="H491" s="8"/>
      <c r="I491" s="8"/>
      <c r="J491" s="8"/>
    </row>
    <row r="492" spans="1:10" s="1" customFormat="1" ht="25.5" customHeight="1" x14ac:dyDescent="0.2">
      <c r="A492" s="35"/>
      <c r="B492" s="47"/>
      <c r="C492" s="139" t="s">
        <v>874</v>
      </c>
      <c r="D492" s="140"/>
      <c r="E492" s="35"/>
      <c r="F492" s="35"/>
      <c r="G492" s="35"/>
      <c r="H492" s="35"/>
      <c r="I492" s="35"/>
      <c r="J492" s="35"/>
    </row>
    <row r="493" spans="1:10" s="1" customFormat="1" ht="25.5" customHeight="1" x14ac:dyDescent="0.2">
      <c r="A493" s="36">
        <v>1014</v>
      </c>
      <c r="B493" s="21">
        <v>44348</v>
      </c>
      <c r="C493" s="139" t="s">
        <v>875</v>
      </c>
      <c r="D493" s="140"/>
      <c r="E493" s="11" t="s">
        <v>81</v>
      </c>
      <c r="F493" s="13">
        <v>7200</v>
      </c>
      <c r="G493" s="12">
        <v>1.03</v>
      </c>
      <c r="H493" s="12">
        <v>1.31</v>
      </c>
      <c r="I493" s="13">
        <f>F493*G493</f>
        <v>7416</v>
      </c>
      <c r="J493" s="13">
        <f>F493*H493</f>
        <v>9432</v>
      </c>
    </row>
    <row r="494" spans="1:10" s="1" customFormat="1" ht="25.5" customHeight="1" x14ac:dyDescent="0.2">
      <c r="A494" s="36">
        <v>981</v>
      </c>
      <c r="B494" s="21">
        <v>44349</v>
      </c>
      <c r="C494" s="139" t="s">
        <v>876</v>
      </c>
      <c r="D494" s="140"/>
      <c r="E494" s="11" t="s">
        <v>81</v>
      </c>
      <c r="F494" s="12">
        <v>750</v>
      </c>
      <c r="G494" s="12">
        <v>1.84</v>
      </c>
      <c r="H494" s="12">
        <v>2.35</v>
      </c>
      <c r="I494" s="13">
        <f>F494*G494</f>
        <v>1380</v>
      </c>
      <c r="J494" s="13">
        <f>F494*H494</f>
        <v>1762.5</v>
      </c>
    </row>
    <row r="495" spans="1:10" s="1" customFormat="1" ht="25.5" customHeight="1" x14ac:dyDescent="0.2">
      <c r="A495" s="36">
        <v>982</v>
      </c>
      <c r="B495" s="21">
        <v>44350</v>
      </c>
      <c r="C495" s="139" t="s">
        <v>877</v>
      </c>
      <c r="D495" s="140"/>
      <c r="E495" s="11" t="s">
        <v>81</v>
      </c>
      <c r="F495" s="12">
        <v>300</v>
      </c>
      <c r="G495" s="12">
        <v>2.57</v>
      </c>
      <c r="H495" s="12">
        <v>3.28</v>
      </c>
      <c r="I495" s="13">
        <f>F495*G495</f>
        <v>771</v>
      </c>
      <c r="J495" s="13">
        <f>F495*H495</f>
        <v>983.99999999999989</v>
      </c>
    </row>
    <row r="496" spans="1:10" s="1" customFormat="1" ht="25.5" customHeight="1" x14ac:dyDescent="0.2">
      <c r="A496" s="35"/>
      <c r="B496" s="47"/>
      <c r="C496" s="139" t="s">
        <v>878</v>
      </c>
      <c r="D496" s="140"/>
      <c r="E496" s="35"/>
      <c r="F496" s="35"/>
      <c r="G496" s="35"/>
      <c r="H496" s="35"/>
      <c r="I496" s="35"/>
      <c r="J496" s="35"/>
    </row>
    <row r="497" spans="1:10" s="1" customFormat="1" ht="25.5" customHeight="1" x14ac:dyDescent="0.2">
      <c r="A497" s="36">
        <v>994</v>
      </c>
      <c r="B497" s="21">
        <v>44351</v>
      </c>
      <c r="C497" s="139" t="s">
        <v>877</v>
      </c>
      <c r="D497" s="140"/>
      <c r="E497" s="11" t="s">
        <v>81</v>
      </c>
      <c r="F497" s="12">
        <v>400</v>
      </c>
      <c r="G497" s="12">
        <v>3</v>
      </c>
      <c r="H497" s="12">
        <v>3.83</v>
      </c>
      <c r="I497" s="13">
        <f t="shared" ref="I497:I502" si="36">F497*G497</f>
        <v>1200</v>
      </c>
      <c r="J497" s="13">
        <f t="shared" ref="J497:J502" si="37">F497*H497</f>
        <v>1532</v>
      </c>
    </row>
    <row r="498" spans="1:10" s="1" customFormat="1" ht="25.5" customHeight="1" x14ac:dyDescent="0.2">
      <c r="A498" s="36">
        <v>1020</v>
      </c>
      <c r="B498" s="21">
        <v>44352</v>
      </c>
      <c r="C498" s="139" t="s">
        <v>879</v>
      </c>
      <c r="D498" s="140"/>
      <c r="E498" s="11" t="s">
        <v>81</v>
      </c>
      <c r="F498" s="12">
        <v>100</v>
      </c>
      <c r="G498" s="12">
        <v>4.8</v>
      </c>
      <c r="H498" s="12">
        <v>6.12</v>
      </c>
      <c r="I498" s="13">
        <f t="shared" si="36"/>
        <v>480</v>
      </c>
      <c r="J498" s="13">
        <f t="shared" si="37"/>
        <v>612</v>
      </c>
    </row>
    <row r="499" spans="1:10" s="1" customFormat="1" ht="25.5" customHeight="1" x14ac:dyDescent="0.2">
      <c r="A499" s="36">
        <v>995</v>
      </c>
      <c r="B499" s="21">
        <v>44353</v>
      </c>
      <c r="C499" s="139" t="s">
        <v>880</v>
      </c>
      <c r="D499" s="140"/>
      <c r="E499" s="11" t="s">
        <v>81</v>
      </c>
      <c r="F499" s="12">
        <v>500</v>
      </c>
      <c r="G499" s="12">
        <v>7.37</v>
      </c>
      <c r="H499" s="12">
        <v>9.4</v>
      </c>
      <c r="I499" s="13">
        <f t="shared" si="36"/>
        <v>3685</v>
      </c>
      <c r="J499" s="13">
        <f t="shared" si="37"/>
        <v>4700</v>
      </c>
    </row>
    <row r="500" spans="1:10" s="1" customFormat="1" ht="25.5" customHeight="1" x14ac:dyDescent="0.2">
      <c r="A500" s="36">
        <v>996</v>
      </c>
      <c r="B500" s="21">
        <v>44354</v>
      </c>
      <c r="C500" s="139" t="s">
        <v>881</v>
      </c>
      <c r="D500" s="140"/>
      <c r="E500" s="11" t="s">
        <v>81</v>
      </c>
      <c r="F500" s="12">
        <v>25</v>
      </c>
      <c r="G500" s="12">
        <v>11.21</v>
      </c>
      <c r="H500" s="12">
        <v>14.3</v>
      </c>
      <c r="I500" s="13">
        <f t="shared" si="36"/>
        <v>280.25</v>
      </c>
      <c r="J500" s="13">
        <f t="shared" si="37"/>
        <v>357.5</v>
      </c>
    </row>
    <row r="501" spans="1:10" s="1" customFormat="1" ht="25.5" customHeight="1" x14ac:dyDescent="0.2">
      <c r="A501" s="36">
        <v>1019</v>
      </c>
      <c r="B501" s="21">
        <v>44355</v>
      </c>
      <c r="C501" s="139" t="s">
        <v>882</v>
      </c>
      <c r="D501" s="140"/>
      <c r="E501" s="11" t="s">
        <v>81</v>
      </c>
      <c r="F501" s="12">
        <v>125</v>
      </c>
      <c r="G501" s="12">
        <v>15.46</v>
      </c>
      <c r="H501" s="12">
        <v>19.73</v>
      </c>
      <c r="I501" s="13">
        <f t="shared" si="36"/>
        <v>1932.5</v>
      </c>
      <c r="J501" s="13">
        <f t="shared" si="37"/>
        <v>2466.25</v>
      </c>
    </row>
    <row r="502" spans="1:10" s="1" customFormat="1" ht="25.5" customHeight="1" x14ac:dyDescent="0.2">
      <c r="A502" s="36">
        <v>1018</v>
      </c>
      <c r="B502" s="21">
        <v>44356</v>
      </c>
      <c r="C502" s="139" t="s">
        <v>883</v>
      </c>
      <c r="D502" s="140"/>
      <c r="E502" s="11" t="s">
        <v>81</v>
      </c>
      <c r="F502" s="12">
        <v>130</v>
      </c>
      <c r="G502" s="12">
        <v>22.04</v>
      </c>
      <c r="H502" s="12">
        <v>28.12</v>
      </c>
      <c r="I502" s="13">
        <f t="shared" si="36"/>
        <v>2865.2</v>
      </c>
      <c r="J502" s="13">
        <f t="shared" si="37"/>
        <v>3655.6</v>
      </c>
    </row>
    <row r="503" spans="1:10" s="1" customFormat="1" ht="25.5" customHeight="1" x14ac:dyDescent="0.2">
      <c r="A503" s="35"/>
      <c r="B503" s="47"/>
      <c r="C503" s="139" t="s">
        <v>884</v>
      </c>
      <c r="D503" s="140"/>
      <c r="E503" s="35"/>
      <c r="F503" s="35"/>
      <c r="G503" s="35"/>
      <c r="H503" s="35"/>
      <c r="I503" s="35"/>
      <c r="J503" s="35"/>
    </row>
    <row r="504" spans="1:10" s="1" customFormat="1" ht="25.5" customHeight="1" x14ac:dyDescent="0.2">
      <c r="A504" s="10">
        <v>39257</v>
      </c>
      <c r="B504" s="34">
        <v>40350</v>
      </c>
      <c r="C504" s="139" t="s">
        <v>885</v>
      </c>
      <c r="D504" s="140"/>
      <c r="E504" s="11" t="s">
        <v>81</v>
      </c>
      <c r="F504" s="12">
        <v>50</v>
      </c>
      <c r="G504" s="12">
        <v>2.81</v>
      </c>
      <c r="H504" s="12">
        <v>3.59</v>
      </c>
      <c r="I504" s="13">
        <f>F504*G504</f>
        <v>140.5</v>
      </c>
      <c r="J504" s="13">
        <f>F504*H504</f>
        <v>179.5</v>
      </c>
    </row>
    <row r="505" spans="1:10" s="1" customFormat="1" ht="25.5" customHeight="1" x14ac:dyDescent="0.2">
      <c r="A505" s="10">
        <v>39258</v>
      </c>
      <c r="B505" s="34">
        <v>40715</v>
      </c>
      <c r="C505" s="139" t="s">
        <v>886</v>
      </c>
      <c r="D505" s="140"/>
      <c r="E505" s="11" t="s">
        <v>81</v>
      </c>
      <c r="F505" s="12">
        <v>60</v>
      </c>
      <c r="G505" s="12">
        <v>4.17</v>
      </c>
      <c r="H505" s="12">
        <v>5.32</v>
      </c>
      <c r="I505" s="13">
        <f>F505*G505</f>
        <v>250.2</v>
      </c>
      <c r="J505" s="13">
        <f>F505*H505</f>
        <v>319.20000000000005</v>
      </c>
    </row>
    <row r="506" spans="1:10" s="1" customFormat="1" ht="25.5" customHeight="1" x14ac:dyDescent="0.2">
      <c r="A506" s="8"/>
      <c r="B506" s="149" t="s">
        <v>887</v>
      </c>
      <c r="C506" s="150"/>
      <c r="D506" s="150"/>
      <c r="E506" s="150"/>
      <c r="F506" s="150"/>
      <c r="G506" s="151"/>
      <c r="H506" s="8"/>
      <c r="I506" s="28">
        <f>SUM(I493:I505)</f>
        <v>20400.650000000001</v>
      </c>
      <c r="J506" s="28">
        <f>SUM(J493:J505)</f>
        <v>26000.55</v>
      </c>
    </row>
    <row r="507" spans="1:10" s="1" customFormat="1" ht="25.5" customHeight="1" x14ac:dyDescent="0.2">
      <c r="A507" s="8"/>
      <c r="B507" s="9" t="s">
        <v>888</v>
      </c>
      <c r="C507" s="137" t="s">
        <v>889</v>
      </c>
      <c r="D507" s="138"/>
      <c r="E507" s="8"/>
      <c r="F507" s="8"/>
      <c r="G507" s="8"/>
      <c r="H507" s="8"/>
      <c r="I507" s="8"/>
      <c r="J507" s="8"/>
    </row>
    <row r="508" spans="1:10" s="1" customFormat="1" ht="25.5" customHeight="1" x14ac:dyDescent="0.2">
      <c r="A508" s="10">
        <v>2574</v>
      </c>
      <c r="B508" s="21">
        <v>44378</v>
      </c>
      <c r="C508" s="139" t="s">
        <v>890</v>
      </c>
      <c r="D508" s="140"/>
      <c r="E508" s="11" t="s">
        <v>102</v>
      </c>
      <c r="F508" s="12">
        <v>8</v>
      </c>
      <c r="G508" s="12">
        <v>8.1999999999999993</v>
      </c>
      <c r="H508" s="12">
        <v>10.46</v>
      </c>
      <c r="I508" s="13">
        <f t="shared" ref="I508:I520" si="38">F508*G508</f>
        <v>65.599999999999994</v>
      </c>
      <c r="J508" s="13">
        <f t="shared" ref="J508:J520" si="39">F508*H508</f>
        <v>83.68</v>
      </c>
    </row>
    <row r="509" spans="1:10" s="1" customFormat="1" ht="25.5" customHeight="1" x14ac:dyDescent="0.2">
      <c r="A509" s="10">
        <v>2559</v>
      </c>
      <c r="B509" s="21">
        <v>44379</v>
      </c>
      <c r="C509" s="139" t="s">
        <v>891</v>
      </c>
      <c r="D509" s="140"/>
      <c r="E509" s="11" t="s">
        <v>102</v>
      </c>
      <c r="F509" s="12">
        <v>12</v>
      </c>
      <c r="G509" s="12">
        <v>8.5</v>
      </c>
      <c r="H509" s="12">
        <v>10.85</v>
      </c>
      <c r="I509" s="13">
        <f t="shared" si="38"/>
        <v>102</v>
      </c>
      <c r="J509" s="13">
        <f t="shared" si="39"/>
        <v>130.19999999999999</v>
      </c>
    </row>
    <row r="510" spans="1:10" s="1" customFormat="1" ht="25.5" customHeight="1" x14ac:dyDescent="0.2">
      <c r="A510" s="10">
        <v>2565</v>
      </c>
      <c r="B510" s="21">
        <v>44380</v>
      </c>
      <c r="C510" s="139" t="s">
        <v>892</v>
      </c>
      <c r="D510" s="140"/>
      <c r="E510" s="11" t="s">
        <v>102</v>
      </c>
      <c r="F510" s="12">
        <v>14</v>
      </c>
      <c r="G510" s="12">
        <v>6.88</v>
      </c>
      <c r="H510" s="12">
        <v>8.7799999999999994</v>
      </c>
      <c r="I510" s="13">
        <f t="shared" si="38"/>
        <v>96.32</v>
      </c>
      <c r="J510" s="13">
        <f t="shared" si="39"/>
        <v>122.91999999999999</v>
      </c>
    </row>
    <row r="511" spans="1:10" s="1" customFormat="1" ht="25.5" customHeight="1" x14ac:dyDescent="0.2">
      <c r="A511" s="10">
        <v>2580</v>
      </c>
      <c r="B511" s="21">
        <v>44381</v>
      </c>
      <c r="C511" s="139" t="s">
        <v>893</v>
      </c>
      <c r="D511" s="140"/>
      <c r="E511" s="11" t="s">
        <v>102</v>
      </c>
      <c r="F511" s="12">
        <v>3</v>
      </c>
      <c r="G511" s="12">
        <v>10.83</v>
      </c>
      <c r="H511" s="12">
        <v>13.82</v>
      </c>
      <c r="I511" s="13">
        <f t="shared" si="38"/>
        <v>32.49</v>
      </c>
      <c r="J511" s="13">
        <f t="shared" si="39"/>
        <v>41.46</v>
      </c>
    </row>
    <row r="512" spans="1:10" s="1" customFormat="1" ht="25.5" customHeight="1" x14ac:dyDescent="0.2">
      <c r="A512" s="10">
        <v>2593</v>
      </c>
      <c r="B512" s="21">
        <v>44382</v>
      </c>
      <c r="C512" s="139" t="s">
        <v>894</v>
      </c>
      <c r="D512" s="140"/>
      <c r="E512" s="11" t="s">
        <v>102</v>
      </c>
      <c r="F512" s="12">
        <v>5</v>
      </c>
      <c r="G512" s="12">
        <v>7.11</v>
      </c>
      <c r="H512" s="12">
        <v>9.07</v>
      </c>
      <c r="I512" s="13">
        <f t="shared" si="38"/>
        <v>35.550000000000004</v>
      </c>
      <c r="J512" s="13">
        <f t="shared" si="39"/>
        <v>45.35</v>
      </c>
    </row>
    <row r="513" spans="1:10" s="1" customFormat="1" ht="25.5" customHeight="1" x14ac:dyDescent="0.2">
      <c r="A513" s="10">
        <v>39346</v>
      </c>
      <c r="B513" s="21">
        <v>44383</v>
      </c>
      <c r="C513" s="139" t="s">
        <v>895</v>
      </c>
      <c r="D513" s="140"/>
      <c r="E513" s="11" t="s">
        <v>102</v>
      </c>
      <c r="F513" s="12">
        <v>8</v>
      </c>
      <c r="G513" s="12">
        <v>2.09</v>
      </c>
      <c r="H513" s="12">
        <v>2.67</v>
      </c>
      <c r="I513" s="13">
        <f t="shared" si="38"/>
        <v>16.72</v>
      </c>
      <c r="J513" s="13">
        <f t="shared" si="39"/>
        <v>21.36</v>
      </c>
    </row>
    <row r="514" spans="1:10" s="1" customFormat="1" ht="25.5" customHeight="1" x14ac:dyDescent="0.2">
      <c r="A514" s="10">
        <v>7543</v>
      </c>
      <c r="B514" s="21">
        <v>44384</v>
      </c>
      <c r="C514" s="139" t="s">
        <v>896</v>
      </c>
      <c r="D514" s="140"/>
      <c r="E514" s="11" t="s">
        <v>102</v>
      </c>
      <c r="F514" s="12">
        <v>14</v>
      </c>
      <c r="G514" s="12">
        <v>3.39</v>
      </c>
      <c r="H514" s="12">
        <v>4.33</v>
      </c>
      <c r="I514" s="13">
        <f t="shared" si="38"/>
        <v>47.46</v>
      </c>
      <c r="J514" s="13">
        <f t="shared" si="39"/>
        <v>60.620000000000005</v>
      </c>
    </row>
    <row r="515" spans="1:10" s="1" customFormat="1" ht="25.5" customHeight="1" x14ac:dyDescent="0.2">
      <c r="A515" s="10">
        <v>39351</v>
      </c>
      <c r="B515" s="21">
        <v>44385</v>
      </c>
      <c r="C515" s="139" t="s">
        <v>897</v>
      </c>
      <c r="D515" s="140"/>
      <c r="E515" s="11" t="s">
        <v>102</v>
      </c>
      <c r="F515" s="12">
        <v>20</v>
      </c>
      <c r="G515" s="12">
        <v>2.6</v>
      </c>
      <c r="H515" s="12">
        <v>3.32</v>
      </c>
      <c r="I515" s="13">
        <f t="shared" si="38"/>
        <v>52</v>
      </c>
      <c r="J515" s="13">
        <f t="shared" si="39"/>
        <v>66.399999999999991</v>
      </c>
    </row>
    <row r="516" spans="1:10" s="1" customFormat="1" ht="25.5" customHeight="1" x14ac:dyDescent="0.2">
      <c r="A516" s="11" t="s">
        <v>308</v>
      </c>
      <c r="B516" s="21">
        <v>44386</v>
      </c>
      <c r="C516" s="139" t="s">
        <v>898</v>
      </c>
      <c r="D516" s="140"/>
      <c r="E516" s="11" t="s">
        <v>102</v>
      </c>
      <c r="F516" s="12">
        <v>300</v>
      </c>
      <c r="G516" s="12">
        <v>4.9000000000000004</v>
      </c>
      <c r="H516" s="12">
        <v>6.25</v>
      </c>
      <c r="I516" s="13">
        <f t="shared" si="38"/>
        <v>1470</v>
      </c>
      <c r="J516" s="13">
        <f t="shared" si="39"/>
        <v>1875</v>
      </c>
    </row>
    <row r="517" spans="1:10" s="1" customFormat="1" ht="25.5" customHeight="1" x14ac:dyDescent="0.2">
      <c r="A517" s="11" t="s">
        <v>308</v>
      </c>
      <c r="B517" s="34">
        <v>40380</v>
      </c>
      <c r="C517" s="139" t="s">
        <v>899</v>
      </c>
      <c r="D517" s="140"/>
      <c r="E517" s="11" t="s">
        <v>102</v>
      </c>
      <c r="F517" s="12">
        <v>150</v>
      </c>
      <c r="G517" s="12">
        <v>9.0500000000000007</v>
      </c>
      <c r="H517" s="12">
        <v>11.55</v>
      </c>
      <c r="I517" s="13">
        <f t="shared" si="38"/>
        <v>1357.5</v>
      </c>
      <c r="J517" s="13">
        <f t="shared" si="39"/>
        <v>1732.5</v>
      </c>
    </row>
    <row r="518" spans="1:10" s="1" customFormat="1" ht="25.5" customHeight="1" x14ac:dyDescent="0.2">
      <c r="A518" s="10">
        <v>39771</v>
      </c>
      <c r="B518" s="34">
        <v>40745</v>
      </c>
      <c r="C518" s="139" t="s">
        <v>900</v>
      </c>
      <c r="D518" s="140"/>
      <c r="E518" s="11" t="s">
        <v>102</v>
      </c>
      <c r="F518" s="12">
        <v>3</v>
      </c>
      <c r="G518" s="12">
        <v>15.43</v>
      </c>
      <c r="H518" s="12">
        <v>19.690000000000001</v>
      </c>
      <c r="I518" s="13">
        <f t="shared" si="38"/>
        <v>46.29</v>
      </c>
      <c r="J518" s="13">
        <f t="shared" si="39"/>
        <v>59.070000000000007</v>
      </c>
    </row>
    <row r="519" spans="1:10" s="1" customFormat="1" ht="25.5" customHeight="1" x14ac:dyDescent="0.2">
      <c r="A519" s="11" t="s">
        <v>901</v>
      </c>
      <c r="B519" s="34">
        <v>41111</v>
      </c>
      <c r="C519" s="139" t="s">
        <v>902</v>
      </c>
      <c r="D519" s="140"/>
      <c r="E519" s="11" t="s">
        <v>102</v>
      </c>
      <c r="F519" s="12">
        <v>8</v>
      </c>
      <c r="G519" s="12">
        <v>80.319999999999993</v>
      </c>
      <c r="H519" s="12">
        <v>102.48</v>
      </c>
      <c r="I519" s="13">
        <f t="shared" si="38"/>
        <v>642.55999999999995</v>
      </c>
      <c r="J519" s="13">
        <f t="shared" si="39"/>
        <v>819.84</v>
      </c>
    </row>
    <row r="520" spans="1:10" s="1" customFormat="1" ht="25.5" customHeight="1" x14ac:dyDescent="0.2">
      <c r="A520" s="11" t="s">
        <v>696</v>
      </c>
      <c r="B520" s="34">
        <v>41476</v>
      </c>
      <c r="C520" s="139" t="s">
        <v>903</v>
      </c>
      <c r="D520" s="140"/>
      <c r="E520" s="11" t="s">
        <v>102</v>
      </c>
      <c r="F520" s="12">
        <v>8</v>
      </c>
      <c r="G520" s="12">
        <v>165.35</v>
      </c>
      <c r="H520" s="12">
        <v>210.97</v>
      </c>
      <c r="I520" s="13">
        <f t="shared" si="38"/>
        <v>1322.8</v>
      </c>
      <c r="J520" s="13">
        <f t="shared" si="39"/>
        <v>1687.76</v>
      </c>
    </row>
    <row r="521" spans="1:10" s="1" customFormat="1" ht="25.5" customHeight="1" x14ac:dyDescent="0.2">
      <c r="A521" s="8"/>
      <c r="B521" s="149" t="s">
        <v>904</v>
      </c>
      <c r="C521" s="150"/>
      <c r="D521" s="150"/>
      <c r="E521" s="150"/>
      <c r="F521" s="150"/>
      <c r="G521" s="151"/>
      <c r="H521" s="8"/>
      <c r="I521" s="28">
        <f>SUM(I508:I520)</f>
        <v>5287.29</v>
      </c>
      <c r="J521" s="28">
        <f>SUM(J508:J520)</f>
        <v>6746.16</v>
      </c>
    </row>
    <row r="522" spans="1:10" s="1" customFormat="1" ht="25.5" customHeight="1" x14ac:dyDescent="0.2">
      <c r="A522" s="8"/>
      <c r="B522" s="9" t="s">
        <v>905</v>
      </c>
      <c r="C522" s="137" t="s">
        <v>906</v>
      </c>
      <c r="D522" s="138"/>
      <c r="E522" s="8"/>
      <c r="F522" s="8"/>
      <c r="G522" s="8"/>
      <c r="H522" s="8"/>
      <c r="I522" s="8"/>
      <c r="J522" s="8"/>
    </row>
    <row r="523" spans="1:10" s="1" customFormat="1" ht="25.5" customHeight="1" x14ac:dyDescent="0.2">
      <c r="A523" s="11" t="s">
        <v>308</v>
      </c>
      <c r="B523" s="21">
        <v>44409</v>
      </c>
      <c r="C523" s="139" t="s">
        <v>907</v>
      </c>
      <c r="D523" s="140"/>
      <c r="E523" s="11" t="s">
        <v>102</v>
      </c>
      <c r="F523" s="12">
        <v>4</v>
      </c>
      <c r="G523" s="12">
        <v>53.79</v>
      </c>
      <c r="H523" s="12">
        <v>68.63</v>
      </c>
      <c r="I523" s="13">
        <f t="shared" ref="I523:I534" si="40">F523*G523</f>
        <v>215.16</v>
      </c>
      <c r="J523" s="13">
        <f t="shared" ref="J523:J534" si="41">F523*H523</f>
        <v>274.52</v>
      </c>
    </row>
    <row r="524" spans="1:10" s="1" customFormat="1" ht="25.5" customHeight="1" x14ac:dyDescent="0.2">
      <c r="A524" s="11" t="s">
        <v>308</v>
      </c>
      <c r="B524" s="21">
        <v>44410</v>
      </c>
      <c r="C524" s="139" t="s">
        <v>908</v>
      </c>
      <c r="D524" s="140"/>
      <c r="E524" s="11" t="s">
        <v>102</v>
      </c>
      <c r="F524" s="12">
        <v>1</v>
      </c>
      <c r="G524" s="12">
        <v>53.79</v>
      </c>
      <c r="H524" s="12">
        <v>68.63</v>
      </c>
      <c r="I524" s="13">
        <f t="shared" si="40"/>
        <v>53.79</v>
      </c>
      <c r="J524" s="13">
        <f t="shared" si="41"/>
        <v>68.63</v>
      </c>
    </row>
    <row r="525" spans="1:10" s="1" customFormat="1" ht="25.5" customHeight="1" x14ac:dyDescent="0.2">
      <c r="A525" s="11" t="s">
        <v>308</v>
      </c>
      <c r="B525" s="21">
        <v>44411</v>
      </c>
      <c r="C525" s="139" t="s">
        <v>909</v>
      </c>
      <c r="D525" s="140"/>
      <c r="E525" s="11" t="s">
        <v>102</v>
      </c>
      <c r="F525" s="12">
        <v>1</v>
      </c>
      <c r="G525" s="12">
        <v>115.99</v>
      </c>
      <c r="H525" s="12">
        <v>147.99</v>
      </c>
      <c r="I525" s="13">
        <f t="shared" si="40"/>
        <v>115.99</v>
      </c>
      <c r="J525" s="13">
        <f t="shared" si="41"/>
        <v>147.99</v>
      </c>
    </row>
    <row r="526" spans="1:10" s="1" customFormat="1" ht="25.5" customHeight="1" x14ac:dyDescent="0.2">
      <c r="A526" s="11" t="s">
        <v>308</v>
      </c>
      <c r="B526" s="21">
        <v>44412</v>
      </c>
      <c r="C526" s="139" t="s">
        <v>910</v>
      </c>
      <c r="D526" s="140"/>
      <c r="E526" s="11" t="s">
        <v>102</v>
      </c>
      <c r="F526" s="12">
        <v>3</v>
      </c>
      <c r="G526" s="12">
        <v>232.9</v>
      </c>
      <c r="H526" s="12">
        <v>297.16000000000003</v>
      </c>
      <c r="I526" s="13">
        <f t="shared" si="40"/>
        <v>698.7</v>
      </c>
      <c r="J526" s="13">
        <f t="shared" si="41"/>
        <v>891.48</v>
      </c>
    </row>
    <row r="527" spans="1:10" s="1" customFormat="1" ht="25.5" customHeight="1" x14ac:dyDescent="0.2">
      <c r="A527" s="11" t="s">
        <v>308</v>
      </c>
      <c r="B527" s="21">
        <v>44413</v>
      </c>
      <c r="C527" s="139" t="s">
        <v>911</v>
      </c>
      <c r="D527" s="140"/>
      <c r="E527" s="11" t="s">
        <v>102</v>
      </c>
      <c r="F527" s="12">
        <v>1</v>
      </c>
      <c r="G527" s="12">
        <v>120</v>
      </c>
      <c r="H527" s="12">
        <v>153.11000000000001</v>
      </c>
      <c r="I527" s="13">
        <f t="shared" si="40"/>
        <v>120</v>
      </c>
      <c r="J527" s="13">
        <f t="shared" si="41"/>
        <v>153.11000000000001</v>
      </c>
    </row>
    <row r="528" spans="1:10" s="1" customFormat="1" ht="25.5" customHeight="1" x14ac:dyDescent="0.2">
      <c r="A528" s="11" t="s">
        <v>308</v>
      </c>
      <c r="B528" s="21">
        <v>44414</v>
      </c>
      <c r="C528" s="139" t="s">
        <v>912</v>
      </c>
      <c r="D528" s="140"/>
      <c r="E528" s="11" t="s">
        <v>102</v>
      </c>
      <c r="F528" s="12">
        <v>1</v>
      </c>
      <c r="G528" s="12">
        <v>66.87</v>
      </c>
      <c r="H528" s="12">
        <v>85.32</v>
      </c>
      <c r="I528" s="13">
        <f t="shared" si="40"/>
        <v>66.87</v>
      </c>
      <c r="J528" s="13">
        <f t="shared" si="41"/>
        <v>85.32</v>
      </c>
    </row>
    <row r="529" spans="1:10" s="1" customFormat="1" ht="25.5" customHeight="1" x14ac:dyDescent="0.2">
      <c r="A529" s="11" t="s">
        <v>308</v>
      </c>
      <c r="B529" s="21">
        <v>44415</v>
      </c>
      <c r="C529" s="139" t="s">
        <v>913</v>
      </c>
      <c r="D529" s="140"/>
      <c r="E529" s="11" t="s">
        <v>102</v>
      </c>
      <c r="F529" s="12">
        <v>1</v>
      </c>
      <c r="G529" s="12">
        <v>89.11</v>
      </c>
      <c r="H529" s="12">
        <v>113.7</v>
      </c>
      <c r="I529" s="13">
        <f t="shared" si="40"/>
        <v>89.11</v>
      </c>
      <c r="J529" s="13">
        <f t="shared" si="41"/>
        <v>113.7</v>
      </c>
    </row>
    <row r="530" spans="1:10" s="1" customFormat="1" ht="25.5" customHeight="1" x14ac:dyDescent="0.2">
      <c r="A530" s="11" t="s">
        <v>308</v>
      </c>
      <c r="B530" s="21">
        <v>44416</v>
      </c>
      <c r="C530" s="139" t="s">
        <v>914</v>
      </c>
      <c r="D530" s="140"/>
      <c r="E530" s="11" t="s">
        <v>102</v>
      </c>
      <c r="F530" s="12">
        <v>1</v>
      </c>
      <c r="G530" s="12">
        <v>98.32</v>
      </c>
      <c r="H530" s="12">
        <v>125.45</v>
      </c>
      <c r="I530" s="13">
        <f t="shared" si="40"/>
        <v>98.32</v>
      </c>
      <c r="J530" s="13">
        <f t="shared" si="41"/>
        <v>125.45</v>
      </c>
    </row>
    <row r="531" spans="1:10" s="1" customFormat="1" ht="25.5" customHeight="1" x14ac:dyDescent="0.2">
      <c r="A531" s="11" t="s">
        <v>915</v>
      </c>
      <c r="B531" s="21">
        <v>44417</v>
      </c>
      <c r="C531" s="139" t="s">
        <v>916</v>
      </c>
      <c r="D531" s="140"/>
      <c r="E531" s="11" t="s">
        <v>102</v>
      </c>
      <c r="F531" s="12">
        <v>1</v>
      </c>
      <c r="G531" s="12">
        <v>81.760000000000005</v>
      </c>
      <c r="H531" s="12">
        <v>104.31</v>
      </c>
      <c r="I531" s="13">
        <f t="shared" si="40"/>
        <v>81.760000000000005</v>
      </c>
      <c r="J531" s="13">
        <f t="shared" si="41"/>
        <v>104.31</v>
      </c>
    </row>
    <row r="532" spans="1:10" s="1" customFormat="1" ht="25.5" customHeight="1" x14ac:dyDescent="0.2">
      <c r="A532" s="11" t="s">
        <v>917</v>
      </c>
      <c r="B532" s="34">
        <v>40411</v>
      </c>
      <c r="C532" s="139" t="s">
        <v>918</v>
      </c>
      <c r="D532" s="140"/>
      <c r="E532" s="11" t="s">
        <v>102</v>
      </c>
      <c r="F532" s="12">
        <v>1</v>
      </c>
      <c r="G532" s="12">
        <v>72.62</v>
      </c>
      <c r="H532" s="12">
        <v>92.66</v>
      </c>
      <c r="I532" s="13">
        <f t="shared" si="40"/>
        <v>72.62</v>
      </c>
      <c r="J532" s="13">
        <f t="shared" si="41"/>
        <v>92.66</v>
      </c>
    </row>
    <row r="533" spans="1:10" s="1" customFormat="1" ht="25.5" customHeight="1" x14ac:dyDescent="0.2">
      <c r="A533" s="11" t="s">
        <v>308</v>
      </c>
      <c r="B533" s="34">
        <v>40776</v>
      </c>
      <c r="C533" s="139" t="s">
        <v>919</v>
      </c>
      <c r="D533" s="140"/>
      <c r="E533" s="11" t="s">
        <v>102</v>
      </c>
      <c r="F533" s="12">
        <v>3</v>
      </c>
      <c r="G533" s="12">
        <v>17.100000000000001</v>
      </c>
      <c r="H533" s="12">
        <v>21.82</v>
      </c>
      <c r="I533" s="13">
        <f t="shared" si="40"/>
        <v>51.300000000000004</v>
      </c>
      <c r="J533" s="13">
        <f t="shared" si="41"/>
        <v>65.460000000000008</v>
      </c>
    </row>
    <row r="534" spans="1:10" s="1" customFormat="1" ht="25.5" customHeight="1" x14ac:dyDescent="0.2">
      <c r="A534" s="11" t="s">
        <v>308</v>
      </c>
      <c r="B534" s="34">
        <v>41142</v>
      </c>
      <c r="C534" s="139" t="s">
        <v>920</v>
      </c>
      <c r="D534" s="140"/>
      <c r="E534" s="11" t="s">
        <v>102</v>
      </c>
      <c r="F534" s="12">
        <v>2</v>
      </c>
      <c r="G534" s="12">
        <v>17.100000000000001</v>
      </c>
      <c r="H534" s="12">
        <v>21.82</v>
      </c>
      <c r="I534" s="13">
        <f t="shared" si="40"/>
        <v>34.200000000000003</v>
      </c>
      <c r="J534" s="13">
        <f t="shared" si="41"/>
        <v>43.64</v>
      </c>
    </row>
    <row r="535" spans="1:10" s="1" customFormat="1" ht="25.5" customHeight="1" x14ac:dyDescent="0.2">
      <c r="A535" s="8"/>
      <c r="B535" s="149" t="s">
        <v>921</v>
      </c>
      <c r="C535" s="150"/>
      <c r="D535" s="150"/>
      <c r="E535" s="150"/>
      <c r="F535" s="150"/>
      <c r="G535" s="151"/>
      <c r="H535" s="8"/>
      <c r="I535" s="28">
        <f>SUM(I523:I534)</f>
        <v>1697.8200000000002</v>
      </c>
      <c r="J535" s="28">
        <f>SUM(J523:J534)</f>
        <v>2166.27</v>
      </c>
    </row>
    <row r="536" spans="1:10" s="1" customFormat="1" ht="25.5" customHeight="1" x14ac:dyDescent="0.2">
      <c r="A536" s="8"/>
      <c r="B536" s="9" t="s">
        <v>922</v>
      </c>
      <c r="C536" s="137" t="s">
        <v>923</v>
      </c>
      <c r="D536" s="138"/>
      <c r="E536" s="8"/>
      <c r="F536" s="8"/>
      <c r="G536" s="8"/>
      <c r="H536" s="8"/>
      <c r="I536" s="8"/>
      <c r="J536" s="8"/>
    </row>
    <row r="537" spans="1:10" s="1" customFormat="1" ht="25.5" customHeight="1" x14ac:dyDescent="0.2">
      <c r="A537" s="10">
        <v>93655</v>
      </c>
      <c r="B537" s="21">
        <v>44440</v>
      </c>
      <c r="C537" s="139" t="s">
        <v>924</v>
      </c>
      <c r="D537" s="140"/>
      <c r="E537" s="11" t="s">
        <v>102</v>
      </c>
      <c r="F537" s="12">
        <v>41</v>
      </c>
      <c r="G537" s="12">
        <v>11.19</v>
      </c>
      <c r="H537" s="12">
        <v>14.28</v>
      </c>
      <c r="I537" s="13">
        <f t="shared" ref="I537:I552" si="42">F537*G537</f>
        <v>458.78999999999996</v>
      </c>
      <c r="J537" s="13">
        <f t="shared" ref="J537:J552" si="43">F537*H537</f>
        <v>585.48</v>
      </c>
    </row>
    <row r="538" spans="1:10" s="1" customFormat="1" ht="25.5" customHeight="1" x14ac:dyDescent="0.2">
      <c r="A538" s="10">
        <v>93656</v>
      </c>
      <c r="B538" s="21">
        <v>44441</v>
      </c>
      <c r="C538" s="139" t="s">
        <v>925</v>
      </c>
      <c r="D538" s="140"/>
      <c r="E538" s="11" t="s">
        <v>102</v>
      </c>
      <c r="F538" s="12">
        <v>25</v>
      </c>
      <c r="G538" s="12">
        <v>11.19</v>
      </c>
      <c r="H538" s="12">
        <v>14.28</v>
      </c>
      <c r="I538" s="13">
        <f t="shared" si="42"/>
        <v>279.75</v>
      </c>
      <c r="J538" s="13">
        <f t="shared" si="43"/>
        <v>357</v>
      </c>
    </row>
    <row r="539" spans="1:10" s="1" customFormat="1" ht="25.5" customHeight="1" x14ac:dyDescent="0.2">
      <c r="A539" s="10">
        <v>93667</v>
      </c>
      <c r="B539" s="21">
        <v>44442</v>
      </c>
      <c r="C539" s="139" t="s">
        <v>926</v>
      </c>
      <c r="D539" s="140"/>
      <c r="E539" s="11" t="s">
        <v>102</v>
      </c>
      <c r="F539" s="12">
        <v>1</v>
      </c>
      <c r="G539" s="12">
        <v>63.11</v>
      </c>
      <c r="H539" s="12">
        <v>80.52</v>
      </c>
      <c r="I539" s="13">
        <f t="shared" si="42"/>
        <v>63.11</v>
      </c>
      <c r="J539" s="13">
        <f t="shared" si="43"/>
        <v>80.52</v>
      </c>
    </row>
    <row r="540" spans="1:10" s="1" customFormat="1" ht="25.5" customHeight="1" x14ac:dyDescent="0.2">
      <c r="A540" s="10">
        <v>93669</v>
      </c>
      <c r="B540" s="21">
        <v>44443</v>
      </c>
      <c r="C540" s="139" t="s">
        <v>927</v>
      </c>
      <c r="D540" s="140"/>
      <c r="E540" s="11" t="s">
        <v>102</v>
      </c>
      <c r="F540" s="12">
        <v>2</v>
      </c>
      <c r="G540" s="12">
        <v>66.849999999999994</v>
      </c>
      <c r="H540" s="12">
        <v>85.29</v>
      </c>
      <c r="I540" s="13">
        <f t="shared" si="42"/>
        <v>133.69999999999999</v>
      </c>
      <c r="J540" s="13">
        <f t="shared" si="43"/>
        <v>170.58</v>
      </c>
    </row>
    <row r="541" spans="1:10" s="1" customFormat="1" ht="25.5" customHeight="1" x14ac:dyDescent="0.2">
      <c r="A541" s="10">
        <v>93671</v>
      </c>
      <c r="B541" s="21">
        <v>44444</v>
      </c>
      <c r="C541" s="139" t="s">
        <v>928</v>
      </c>
      <c r="D541" s="140"/>
      <c r="E541" s="11" t="s">
        <v>102</v>
      </c>
      <c r="F541" s="12">
        <v>3</v>
      </c>
      <c r="G541" s="12">
        <v>69.86</v>
      </c>
      <c r="H541" s="12">
        <v>89.13</v>
      </c>
      <c r="I541" s="13">
        <f t="shared" si="42"/>
        <v>209.57999999999998</v>
      </c>
      <c r="J541" s="13">
        <f t="shared" si="43"/>
        <v>267.39</v>
      </c>
    </row>
    <row r="542" spans="1:10" s="1" customFormat="1" ht="25.5" customHeight="1" x14ac:dyDescent="0.2">
      <c r="A542" s="10">
        <v>93673</v>
      </c>
      <c r="B542" s="21">
        <v>44445</v>
      </c>
      <c r="C542" s="139" t="s">
        <v>929</v>
      </c>
      <c r="D542" s="140"/>
      <c r="E542" s="11" t="s">
        <v>102</v>
      </c>
      <c r="F542" s="12">
        <v>1</v>
      </c>
      <c r="G542" s="12">
        <v>80.959999999999994</v>
      </c>
      <c r="H542" s="12">
        <v>103.3</v>
      </c>
      <c r="I542" s="13">
        <f t="shared" si="42"/>
        <v>80.959999999999994</v>
      </c>
      <c r="J542" s="13">
        <f t="shared" si="43"/>
        <v>103.3</v>
      </c>
    </row>
    <row r="543" spans="1:10" s="1" customFormat="1" ht="25.5" customHeight="1" x14ac:dyDescent="0.2">
      <c r="A543" s="11" t="s">
        <v>930</v>
      </c>
      <c r="B543" s="21">
        <v>44446</v>
      </c>
      <c r="C543" s="139" t="s">
        <v>931</v>
      </c>
      <c r="D543" s="140"/>
      <c r="E543" s="11" t="s">
        <v>102</v>
      </c>
      <c r="F543" s="12">
        <v>1</v>
      </c>
      <c r="G543" s="12">
        <v>84.91</v>
      </c>
      <c r="H543" s="12">
        <v>108.33</v>
      </c>
      <c r="I543" s="13">
        <f t="shared" si="42"/>
        <v>84.91</v>
      </c>
      <c r="J543" s="13">
        <f t="shared" si="43"/>
        <v>108.33</v>
      </c>
    </row>
    <row r="544" spans="1:10" s="1" customFormat="1" ht="25.5" customHeight="1" x14ac:dyDescent="0.2">
      <c r="A544" s="11" t="s">
        <v>932</v>
      </c>
      <c r="B544" s="21">
        <v>44447</v>
      </c>
      <c r="C544" s="139" t="s">
        <v>933</v>
      </c>
      <c r="D544" s="140"/>
      <c r="E544" s="11" t="s">
        <v>102</v>
      </c>
      <c r="F544" s="12">
        <v>1</v>
      </c>
      <c r="G544" s="12">
        <v>84.91</v>
      </c>
      <c r="H544" s="12">
        <v>108.33</v>
      </c>
      <c r="I544" s="13">
        <f t="shared" si="42"/>
        <v>84.91</v>
      </c>
      <c r="J544" s="13">
        <f t="shared" si="43"/>
        <v>108.33</v>
      </c>
    </row>
    <row r="545" spans="1:10" s="1" customFormat="1" ht="25.5" customHeight="1" x14ac:dyDescent="0.2">
      <c r="A545" s="11" t="s">
        <v>78</v>
      </c>
      <c r="B545" s="21">
        <v>44448</v>
      </c>
      <c r="C545" s="139" t="s">
        <v>934</v>
      </c>
      <c r="D545" s="140"/>
      <c r="E545" s="11" t="s">
        <v>102</v>
      </c>
      <c r="F545" s="12">
        <v>2</v>
      </c>
      <c r="G545" s="12">
        <v>72.77</v>
      </c>
      <c r="H545" s="12">
        <v>92.84</v>
      </c>
      <c r="I545" s="13">
        <f t="shared" si="42"/>
        <v>145.54</v>
      </c>
      <c r="J545" s="13">
        <f t="shared" si="43"/>
        <v>185.68</v>
      </c>
    </row>
    <row r="546" spans="1:10" s="1" customFormat="1" ht="25.5" customHeight="1" x14ac:dyDescent="0.2">
      <c r="A546" s="11" t="s">
        <v>78</v>
      </c>
      <c r="B546" s="34">
        <v>40442</v>
      </c>
      <c r="C546" s="139" t="s">
        <v>935</v>
      </c>
      <c r="D546" s="140"/>
      <c r="E546" s="11" t="s">
        <v>102</v>
      </c>
      <c r="F546" s="12">
        <v>1</v>
      </c>
      <c r="G546" s="12">
        <v>72.77</v>
      </c>
      <c r="H546" s="12">
        <v>92.84</v>
      </c>
      <c r="I546" s="13">
        <f t="shared" si="42"/>
        <v>72.77</v>
      </c>
      <c r="J546" s="13">
        <f t="shared" si="43"/>
        <v>92.84</v>
      </c>
    </row>
    <row r="547" spans="1:10" s="1" customFormat="1" ht="25.5" customHeight="1" x14ac:dyDescent="0.2">
      <c r="A547" s="11" t="s">
        <v>308</v>
      </c>
      <c r="B547" s="34">
        <v>40807</v>
      </c>
      <c r="C547" s="139" t="s">
        <v>936</v>
      </c>
      <c r="D547" s="140"/>
      <c r="E547" s="11" t="s">
        <v>102</v>
      </c>
      <c r="F547" s="12">
        <v>1</v>
      </c>
      <c r="G547" s="12">
        <v>750</v>
      </c>
      <c r="H547" s="12">
        <v>956.93</v>
      </c>
      <c r="I547" s="13">
        <f t="shared" si="42"/>
        <v>750</v>
      </c>
      <c r="J547" s="13">
        <f t="shared" si="43"/>
        <v>956.93</v>
      </c>
    </row>
    <row r="548" spans="1:10" s="1" customFormat="1" ht="25.5" customHeight="1" x14ac:dyDescent="0.2">
      <c r="A548" s="11" t="s">
        <v>937</v>
      </c>
      <c r="B548" s="34">
        <v>41173</v>
      </c>
      <c r="C548" s="139" t="s">
        <v>938</v>
      </c>
      <c r="D548" s="140"/>
      <c r="E548" s="11" t="s">
        <v>102</v>
      </c>
      <c r="F548" s="12">
        <v>1</v>
      </c>
      <c r="G548" s="12">
        <v>397.29</v>
      </c>
      <c r="H548" s="12">
        <v>506.9</v>
      </c>
      <c r="I548" s="13">
        <f t="shared" si="42"/>
        <v>397.29</v>
      </c>
      <c r="J548" s="13">
        <f t="shared" si="43"/>
        <v>506.9</v>
      </c>
    </row>
    <row r="549" spans="1:10" s="1" customFormat="1" ht="25.5" customHeight="1" x14ac:dyDescent="0.2">
      <c r="A549" s="11" t="s">
        <v>939</v>
      </c>
      <c r="B549" s="34">
        <v>41538</v>
      </c>
      <c r="C549" s="139" t="s">
        <v>940</v>
      </c>
      <c r="D549" s="140"/>
      <c r="E549" s="11" t="s">
        <v>102</v>
      </c>
      <c r="F549" s="12">
        <v>1</v>
      </c>
      <c r="G549" s="12">
        <v>762.97</v>
      </c>
      <c r="H549" s="12">
        <v>973.47</v>
      </c>
      <c r="I549" s="13">
        <f t="shared" si="42"/>
        <v>762.97</v>
      </c>
      <c r="J549" s="13">
        <f t="shared" si="43"/>
        <v>973.47</v>
      </c>
    </row>
    <row r="550" spans="1:10" s="1" customFormat="1" ht="25.5" customHeight="1" x14ac:dyDescent="0.2">
      <c r="A550" s="11" t="s">
        <v>78</v>
      </c>
      <c r="B550" s="34">
        <v>41903</v>
      </c>
      <c r="C550" s="139" t="s">
        <v>941</v>
      </c>
      <c r="D550" s="140"/>
      <c r="E550" s="11" t="s">
        <v>102</v>
      </c>
      <c r="F550" s="12">
        <v>57</v>
      </c>
      <c r="G550" s="12">
        <v>126.31</v>
      </c>
      <c r="H550" s="12">
        <v>161.15</v>
      </c>
      <c r="I550" s="13">
        <f t="shared" si="42"/>
        <v>7199.67</v>
      </c>
      <c r="J550" s="13">
        <f t="shared" si="43"/>
        <v>9185.5500000000011</v>
      </c>
    </row>
    <row r="551" spans="1:10" s="1" customFormat="1" ht="25.5" customHeight="1" x14ac:dyDescent="0.2">
      <c r="A551" s="11" t="s">
        <v>78</v>
      </c>
      <c r="B551" s="34">
        <v>42268</v>
      </c>
      <c r="C551" s="139" t="s">
        <v>942</v>
      </c>
      <c r="D551" s="140"/>
      <c r="E551" s="11" t="s">
        <v>102</v>
      </c>
      <c r="F551" s="12">
        <v>1</v>
      </c>
      <c r="G551" s="12">
        <v>157.28</v>
      </c>
      <c r="H551" s="12">
        <v>200.67</v>
      </c>
      <c r="I551" s="13">
        <f t="shared" si="42"/>
        <v>157.28</v>
      </c>
      <c r="J551" s="13">
        <f t="shared" si="43"/>
        <v>200.67</v>
      </c>
    </row>
    <row r="552" spans="1:10" s="1" customFormat="1" ht="25.5" customHeight="1" x14ac:dyDescent="0.2">
      <c r="A552" s="11" t="s">
        <v>943</v>
      </c>
      <c r="B552" s="34">
        <v>42634</v>
      </c>
      <c r="C552" s="139" t="s">
        <v>944</v>
      </c>
      <c r="D552" s="140"/>
      <c r="E552" s="11" t="s">
        <v>102</v>
      </c>
      <c r="F552" s="12">
        <v>4</v>
      </c>
      <c r="G552" s="12">
        <v>99.53</v>
      </c>
      <c r="H552" s="12">
        <v>126.99</v>
      </c>
      <c r="I552" s="13">
        <f t="shared" si="42"/>
        <v>398.12</v>
      </c>
      <c r="J552" s="13">
        <f t="shared" si="43"/>
        <v>507.96</v>
      </c>
    </row>
    <row r="553" spans="1:10" s="1" customFormat="1" ht="25.5" customHeight="1" x14ac:dyDescent="0.2">
      <c r="A553" s="8"/>
      <c r="B553" s="149" t="s">
        <v>945</v>
      </c>
      <c r="C553" s="150"/>
      <c r="D553" s="150"/>
      <c r="E553" s="150"/>
      <c r="F553" s="150"/>
      <c r="G553" s="151"/>
      <c r="H553" s="8"/>
      <c r="I553" s="28">
        <f>SUM(I537:I552)</f>
        <v>11279.350000000002</v>
      </c>
      <c r="J553" s="28">
        <f>SUM(J537:J552)</f>
        <v>14390.93</v>
      </c>
    </row>
    <row r="554" spans="1:10" s="1" customFormat="1" ht="25.5" customHeight="1" x14ac:dyDescent="0.2">
      <c r="A554" s="8"/>
      <c r="B554" s="9" t="s">
        <v>946</v>
      </c>
      <c r="C554" s="137" t="s">
        <v>947</v>
      </c>
      <c r="D554" s="152"/>
      <c r="E554" s="152"/>
      <c r="F554" s="152"/>
      <c r="G554" s="152"/>
      <c r="H554" s="152"/>
      <c r="I554" s="138"/>
      <c r="J554" s="8"/>
    </row>
    <row r="555" spans="1:10" s="1" customFormat="1" ht="25.5" customHeight="1" x14ac:dyDescent="0.2">
      <c r="A555" s="11" t="s">
        <v>948</v>
      </c>
      <c r="B555" s="25">
        <v>44470</v>
      </c>
      <c r="C555" s="139" t="s">
        <v>949</v>
      </c>
      <c r="D555" s="140"/>
      <c r="E555" s="11" t="s">
        <v>102</v>
      </c>
      <c r="F555" s="12">
        <v>116</v>
      </c>
      <c r="G555" s="12">
        <v>63.58</v>
      </c>
      <c r="H555" s="12">
        <v>81.12</v>
      </c>
      <c r="I555" s="13">
        <f t="shared" ref="I555:I561" si="44">F555*G555</f>
        <v>7375.28</v>
      </c>
      <c r="J555" s="13">
        <f t="shared" ref="J555:J561" si="45">F555*H555</f>
        <v>9409.92</v>
      </c>
    </row>
    <row r="556" spans="1:10" s="1" customFormat="1" ht="25.5" customHeight="1" x14ac:dyDescent="0.2">
      <c r="A556" s="11" t="s">
        <v>950</v>
      </c>
      <c r="B556" s="25">
        <v>44471</v>
      </c>
      <c r="C556" s="139" t="s">
        <v>951</v>
      </c>
      <c r="D556" s="140"/>
      <c r="E556" s="11" t="s">
        <v>102</v>
      </c>
      <c r="F556" s="12">
        <v>19</v>
      </c>
      <c r="G556" s="12">
        <v>102.79</v>
      </c>
      <c r="H556" s="12">
        <v>131.15</v>
      </c>
      <c r="I556" s="13">
        <f t="shared" si="44"/>
        <v>1953.0100000000002</v>
      </c>
      <c r="J556" s="13">
        <f t="shared" si="45"/>
        <v>2491.85</v>
      </c>
    </row>
    <row r="557" spans="1:10" s="1" customFormat="1" ht="25.5" customHeight="1" x14ac:dyDescent="0.2">
      <c r="A557" s="10">
        <v>38769</v>
      </c>
      <c r="B557" s="25">
        <v>44472</v>
      </c>
      <c r="C557" s="139" t="s">
        <v>952</v>
      </c>
      <c r="D557" s="140"/>
      <c r="E557" s="11" t="s">
        <v>102</v>
      </c>
      <c r="F557" s="12">
        <v>12</v>
      </c>
      <c r="G557" s="12">
        <v>22.83</v>
      </c>
      <c r="H557" s="12">
        <v>29.13</v>
      </c>
      <c r="I557" s="13">
        <f t="shared" si="44"/>
        <v>273.95999999999998</v>
      </c>
      <c r="J557" s="13">
        <f t="shared" si="45"/>
        <v>349.56</v>
      </c>
    </row>
    <row r="558" spans="1:10" s="1" customFormat="1" ht="25.5" customHeight="1" x14ac:dyDescent="0.2">
      <c r="A558" s="10">
        <v>38769</v>
      </c>
      <c r="B558" s="25">
        <v>44473</v>
      </c>
      <c r="C558" s="139" t="s">
        <v>953</v>
      </c>
      <c r="D558" s="140"/>
      <c r="E558" s="11" t="s">
        <v>102</v>
      </c>
      <c r="F558" s="12">
        <v>18</v>
      </c>
      <c r="G558" s="12">
        <v>22.83</v>
      </c>
      <c r="H558" s="12">
        <v>29.13</v>
      </c>
      <c r="I558" s="13">
        <f t="shared" si="44"/>
        <v>410.93999999999994</v>
      </c>
      <c r="J558" s="13">
        <f t="shared" si="45"/>
        <v>524.34</v>
      </c>
    </row>
    <row r="559" spans="1:10" s="1" customFormat="1" ht="25.5" customHeight="1" x14ac:dyDescent="0.2">
      <c r="A559" s="11" t="s">
        <v>954</v>
      </c>
      <c r="B559" s="25">
        <v>44474</v>
      </c>
      <c r="C559" s="139" t="s">
        <v>955</v>
      </c>
      <c r="D559" s="140"/>
      <c r="E559" s="11" t="s">
        <v>102</v>
      </c>
      <c r="F559" s="12">
        <v>2</v>
      </c>
      <c r="G559" s="13">
        <v>3877.9</v>
      </c>
      <c r="H559" s="13">
        <v>4947.82</v>
      </c>
      <c r="I559" s="13">
        <f t="shared" si="44"/>
        <v>7755.8</v>
      </c>
      <c r="J559" s="13">
        <f t="shared" si="45"/>
        <v>9895.64</v>
      </c>
    </row>
    <row r="560" spans="1:10" s="1" customFormat="1" ht="25.5" customHeight="1" x14ac:dyDescent="0.2">
      <c r="A560" s="11" t="s">
        <v>956</v>
      </c>
      <c r="B560" s="25">
        <v>44475</v>
      </c>
      <c r="C560" s="139" t="s">
        <v>957</v>
      </c>
      <c r="D560" s="140"/>
      <c r="E560" s="11" t="s">
        <v>102</v>
      </c>
      <c r="F560" s="12">
        <v>4</v>
      </c>
      <c r="G560" s="13">
        <v>2717.21</v>
      </c>
      <c r="H560" s="13">
        <v>3466.89</v>
      </c>
      <c r="I560" s="13">
        <f t="shared" si="44"/>
        <v>10868.84</v>
      </c>
      <c r="J560" s="13">
        <f t="shared" si="45"/>
        <v>13867.56</v>
      </c>
    </row>
    <row r="561" spans="1:10" s="1" customFormat="1" ht="25.5" customHeight="1" x14ac:dyDescent="0.2">
      <c r="A561" s="31" t="s">
        <v>308</v>
      </c>
      <c r="B561" s="37">
        <v>44476</v>
      </c>
      <c r="C561" s="139" t="s">
        <v>958</v>
      </c>
      <c r="D561" s="140"/>
      <c r="E561" s="31" t="s">
        <v>102</v>
      </c>
      <c r="F561" s="32">
        <v>5</v>
      </c>
      <c r="G561" s="32">
        <v>135.36000000000001</v>
      </c>
      <c r="H561" s="32">
        <v>172.71</v>
      </c>
      <c r="I561" s="13">
        <f t="shared" si="44"/>
        <v>676.80000000000007</v>
      </c>
      <c r="J561" s="13">
        <f t="shared" si="45"/>
        <v>863.55000000000007</v>
      </c>
    </row>
    <row r="562" spans="1:10" s="1" customFormat="1" ht="25.5" customHeight="1" x14ac:dyDescent="0.2">
      <c r="A562" s="8"/>
      <c r="B562" s="149" t="s">
        <v>959</v>
      </c>
      <c r="C562" s="150"/>
      <c r="D562" s="150"/>
      <c r="E562" s="150"/>
      <c r="F562" s="150"/>
      <c r="G562" s="151"/>
      <c r="H562" s="8"/>
      <c r="I562" s="28">
        <f>SUM(I555:I561)</f>
        <v>29314.63</v>
      </c>
      <c r="J562" s="28">
        <f>SUM(J555:J561)</f>
        <v>37402.42</v>
      </c>
    </row>
    <row r="563" spans="1:10" s="1" customFormat="1" ht="25.5" customHeight="1" x14ac:dyDescent="0.2">
      <c r="A563" s="8"/>
      <c r="B563" s="9" t="s">
        <v>960</v>
      </c>
      <c r="C563" s="137" t="s">
        <v>961</v>
      </c>
      <c r="D563" s="138"/>
      <c r="E563" s="8"/>
      <c r="F563" s="8"/>
      <c r="G563" s="8"/>
      <c r="H563" s="8"/>
      <c r="I563" s="8"/>
      <c r="J563" s="8"/>
    </row>
    <row r="564" spans="1:10" s="1" customFormat="1" ht="25.5" customHeight="1" x14ac:dyDescent="0.2">
      <c r="A564" s="10">
        <v>38112</v>
      </c>
      <c r="B564" s="25">
        <v>44501</v>
      </c>
      <c r="C564" s="139" t="s">
        <v>962</v>
      </c>
      <c r="D564" s="140"/>
      <c r="E564" s="11" t="s">
        <v>102</v>
      </c>
      <c r="F564" s="12">
        <v>1</v>
      </c>
      <c r="G564" s="12">
        <v>5.53</v>
      </c>
      <c r="H564" s="12">
        <v>7.06</v>
      </c>
      <c r="I564" s="13">
        <f t="shared" ref="I564:I576" si="46">F564*G564</f>
        <v>5.53</v>
      </c>
      <c r="J564" s="13">
        <f t="shared" ref="J564:J576" si="47">F564*H564</f>
        <v>7.06</v>
      </c>
    </row>
    <row r="565" spans="1:10" s="1" customFormat="1" ht="25.5" customHeight="1" x14ac:dyDescent="0.2">
      <c r="A565" s="10">
        <v>38112</v>
      </c>
      <c r="B565" s="25">
        <v>44502</v>
      </c>
      <c r="C565" s="139" t="s">
        <v>963</v>
      </c>
      <c r="D565" s="140"/>
      <c r="E565" s="11" t="s">
        <v>102</v>
      </c>
      <c r="F565" s="12">
        <v>49</v>
      </c>
      <c r="G565" s="12">
        <v>5.53</v>
      </c>
      <c r="H565" s="12">
        <v>7.06</v>
      </c>
      <c r="I565" s="13">
        <f t="shared" si="46"/>
        <v>270.97000000000003</v>
      </c>
      <c r="J565" s="13">
        <f t="shared" si="47"/>
        <v>345.94</v>
      </c>
    </row>
    <row r="566" spans="1:10" s="1" customFormat="1" ht="25.5" customHeight="1" x14ac:dyDescent="0.2">
      <c r="A566" s="10">
        <v>38079</v>
      </c>
      <c r="B566" s="25">
        <v>44503</v>
      </c>
      <c r="C566" s="139" t="s">
        <v>964</v>
      </c>
      <c r="D566" s="140"/>
      <c r="E566" s="11" t="s">
        <v>102</v>
      </c>
      <c r="F566" s="12">
        <v>2</v>
      </c>
      <c r="G566" s="12">
        <v>17.579999999999998</v>
      </c>
      <c r="H566" s="12">
        <v>22.43</v>
      </c>
      <c r="I566" s="13">
        <f t="shared" si="46"/>
        <v>35.159999999999997</v>
      </c>
      <c r="J566" s="13">
        <f t="shared" si="47"/>
        <v>44.86</v>
      </c>
    </row>
    <row r="567" spans="1:10" s="1" customFormat="1" ht="25.5" customHeight="1" x14ac:dyDescent="0.2">
      <c r="A567" s="10">
        <v>38071</v>
      </c>
      <c r="B567" s="25">
        <v>44504</v>
      </c>
      <c r="C567" s="139" t="s">
        <v>965</v>
      </c>
      <c r="D567" s="140"/>
      <c r="E567" s="11" t="s">
        <v>102</v>
      </c>
      <c r="F567" s="12">
        <v>5</v>
      </c>
      <c r="G567" s="12">
        <v>13.94</v>
      </c>
      <c r="H567" s="12">
        <v>17.79</v>
      </c>
      <c r="I567" s="13">
        <f t="shared" si="46"/>
        <v>69.7</v>
      </c>
      <c r="J567" s="13">
        <f t="shared" si="47"/>
        <v>88.949999999999989</v>
      </c>
    </row>
    <row r="568" spans="1:10" s="1" customFormat="1" ht="25.5" customHeight="1" x14ac:dyDescent="0.2">
      <c r="A568" s="10">
        <v>38070</v>
      </c>
      <c r="B568" s="25">
        <v>44505</v>
      </c>
      <c r="C568" s="139" t="s">
        <v>966</v>
      </c>
      <c r="D568" s="140"/>
      <c r="E568" s="11" t="s">
        <v>102</v>
      </c>
      <c r="F568" s="12">
        <v>2</v>
      </c>
      <c r="G568" s="12">
        <v>13.47</v>
      </c>
      <c r="H568" s="12">
        <v>17.190000000000001</v>
      </c>
      <c r="I568" s="13">
        <f t="shared" si="46"/>
        <v>26.94</v>
      </c>
      <c r="J568" s="13">
        <f t="shared" si="47"/>
        <v>34.380000000000003</v>
      </c>
    </row>
    <row r="569" spans="1:10" s="1" customFormat="1" ht="25.5" customHeight="1" x14ac:dyDescent="0.2">
      <c r="A569" s="10">
        <v>38070</v>
      </c>
      <c r="B569" s="25">
        <v>44506</v>
      </c>
      <c r="C569" s="139" t="s">
        <v>967</v>
      </c>
      <c r="D569" s="140"/>
      <c r="E569" s="11" t="s">
        <v>102</v>
      </c>
      <c r="F569" s="12">
        <v>18</v>
      </c>
      <c r="G569" s="12">
        <v>13.47</v>
      </c>
      <c r="H569" s="12">
        <v>17.190000000000001</v>
      </c>
      <c r="I569" s="13">
        <f t="shared" si="46"/>
        <v>242.46</v>
      </c>
      <c r="J569" s="13">
        <f t="shared" si="47"/>
        <v>309.42</v>
      </c>
    </row>
    <row r="570" spans="1:10" s="1" customFormat="1" ht="25.5" customHeight="1" x14ac:dyDescent="0.2">
      <c r="A570" s="10">
        <v>38074</v>
      </c>
      <c r="B570" s="25">
        <v>44507</v>
      </c>
      <c r="C570" s="139" t="s">
        <v>968</v>
      </c>
      <c r="D570" s="140"/>
      <c r="E570" s="11" t="s">
        <v>102</v>
      </c>
      <c r="F570" s="12">
        <v>2</v>
      </c>
      <c r="G570" s="12">
        <v>20.48</v>
      </c>
      <c r="H570" s="12">
        <v>26.13</v>
      </c>
      <c r="I570" s="13">
        <f t="shared" si="46"/>
        <v>40.96</v>
      </c>
      <c r="J570" s="13">
        <f t="shared" si="47"/>
        <v>52.26</v>
      </c>
    </row>
    <row r="571" spans="1:10" s="1" customFormat="1" ht="25.5" customHeight="1" x14ac:dyDescent="0.2">
      <c r="A571" s="11" t="s">
        <v>308</v>
      </c>
      <c r="B571" s="25">
        <v>44508</v>
      </c>
      <c r="C571" s="139" t="s">
        <v>969</v>
      </c>
      <c r="D571" s="140"/>
      <c r="E571" s="11" t="s">
        <v>102</v>
      </c>
      <c r="F571" s="12">
        <v>1</v>
      </c>
      <c r="G571" s="12">
        <v>3.9</v>
      </c>
      <c r="H571" s="12">
        <v>4.9800000000000004</v>
      </c>
      <c r="I571" s="13">
        <f t="shared" si="46"/>
        <v>3.9</v>
      </c>
      <c r="J571" s="13">
        <f t="shared" si="47"/>
        <v>4.9800000000000004</v>
      </c>
    </row>
    <row r="572" spans="1:10" s="1" customFormat="1" ht="25.5" customHeight="1" x14ac:dyDescent="0.2">
      <c r="A572" s="10">
        <v>38108</v>
      </c>
      <c r="B572" s="25">
        <v>44509</v>
      </c>
      <c r="C572" s="139" t="s">
        <v>970</v>
      </c>
      <c r="D572" s="140"/>
      <c r="E572" s="11" t="s">
        <v>102</v>
      </c>
      <c r="F572" s="12">
        <v>6</v>
      </c>
      <c r="G572" s="12">
        <v>38.54</v>
      </c>
      <c r="H572" s="12">
        <v>49.17</v>
      </c>
      <c r="I572" s="13">
        <f t="shared" si="46"/>
        <v>231.24</v>
      </c>
      <c r="J572" s="13">
        <f t="shared" si="47"/>
        <v>295.02</v>
      </c>
    </row>
    <row r="573" spans="1:10" s="1" customFormat="1" ht="25.5" customHeight="1" x14ac:dyDescent="0.2">
      <c r="A573" s="10">
        <v>38092</v>
      </c>
      <c r="B573" s="38">
        <v>40503</v>
      </c>
      <c r="C573" s="139" t="s">
        <v>971</v>
      </c>
      <c r="D573" s="140"/>
      <c r="E573" s="11" t="s">
        <v>102</v>
      </c>
      <c r="F573" s="12">
        <v>49</v>
      </c>
      <c r="G573" s="12">
        <v>1.85</v>
      </c>
      <c r="H573" s="12">
        <v>2.36</v>
      </c>
      <c r="I573" s="13">
        <f t="shared" si="46"/>
        <v>90.65</v>
      </c>
      <c r="J573" s="13">
        <f t="shared" si="47"/>
        <v>115.64</v>
      </c>
    </row>
    <row r="574" spans="1:10" s="1" customFormat="1" ht="25.5" customHeight="1" x14ac:dyDescent="0.2">
      <c r="A574" s="10">
        <v>38093</v>
      </c>
      <c r="B574" s="38">
        <v>40868</v>
      </c>
      <c r="C574" s="139" t="s">
        <v>972</v>
      </c>
      <c r="D574" s="140"/>
      <c r="E574" s="11" t="s">
        <v>102</v>
      </c>
      <c r="F574" s="12">
        <v>20</v>
      </c>
      <c r="G574" s="12">
        <v>1.91</v>
      </c>
      <c r="H574" s="12">
        <v>2.44</v>
      </c>
      <c r="I574" s="13">
        <f t="shared" si="46"/>
        <v>38.199999999999996</v>
      </c>
      <c r="J574" s="13">
        <f t="shared" si="47"/>
        <v>48.8</v>
      </c>
    </row>
    <row r="575" spans="1:10" s="1" customFormat="1" ht="25.5" customHeight="1" x14ac:dyDescent="0.2">
      <c r="A575" s="10">
        <v>38094</v>
      </c>
      <c r="B575" s="38">
        <v>41234</v>
      </c>
      <c r="C575" s="139" t="s">
        <v>973</v>
      </c>
      <c r="D575" s="140"/>
      <c r="E575" s="11" t="s">
        <v>102</v>
      </c>
      <c r="F575" s="12">
        <v>5</v>
      </c>
      <c r="G575" s="12">
        <v>2.34</v>
      </c>
      <c r="H575" s="12">
        <v>2.99</v>
      </c>
      <c r="I575" s="13">
        <f t="shared" si="46"/>
        <v>11.7</v>
      </c>
      <c r="J575" s="13">
        <f t="shared" si="47"/>
        <v>14.950000000000001</v>
      </c>
    </row>
    <row r="576" spans="1:10" s="1" customFormat="1" ht="25.5" customHeight="1" x14ac:dyDescent="0.2">
      <c r="A576" s="10">
        <v>38097</v>
      </c>
      <c r="B576" s="38">
        <v>41599</v>
      </c>
      <c r="C576" s="139" t="s">
        <v>974</v>
      </c>
      <c r="D576" s="140"/>
      <c r="E576" s="11" t="s">
        <v>102</v>
      </c>
      <c r="F576" s="12">
        <v>1</v>
      </c>
      <c r="G576" s="12">
        <v>4.76</v>
      </c>
      <c r="H576" s="12">
        <v>6.07</v>
      </c>
      <c r="I576" s="13">
        <f t="shared" si="46"/>
        <v>4.76</v>
      </c>
      <c r="J576" s="13">
        <f t="shared" si="47"/>
        <v>6.07</v>
      </c>
    </row>
    <row r="577" spans="1:10" s="1" customFormat="1" ht="25.5" customHeight="1" x14ac:dyDescent="0.2">
      <c r="A577" s="8"/>
      <c r="B577" s="149" t="s">
        <v>975</v>
      </c>
      <c r="C577" s="150"/>
      <c r="D577" s="150"/>
      <c r="E577" s="150"/>
      <c r="F577" s="150"/>
      <c r="G577" s="151"/>
      <c r="H577" s="8"/>
      <c r="I577" s="28">
        <f>SUM(I564:I576)</f>
        <v>1072.17</v>
      </c>
      <c r="J577" s="28">
        <f>SUM(J564:J576)</f>
        <v>1368.3300000000002</v>
      </c>
    </row>
    <row r="578" spans="1:10" s="1" customFormat="1" ht="25.5" customHeight="1" x14ac:dyDescent="0.2">
      <c r="A578" s="8"/>
      <c r="B578" s="9" t="s">
        <v>976</v>
      </c>
      <c r="C578" s="137" t="s">
        <v>977</v>
      </c>
      <c r="D578" s="152"/>
      <c r="E578" s="152"/>
      <c r="F578" s="152"/>
      <c r="G578" s="152"/>
      <c r="H578" s="152"/>
      <c r="I578" s="138"/>
      <c r="J578" s="8"/>
    </row>
    <row r="579" spans="1:10" s="1" customFormat="1" ht="25.5" customHeight="1" x14ac:dyDescent="0.2">
      <c r="A579" s="10">
        <v>38075</v>
      </c>
      <c r="B579" s="25">
        <v>44531</v>
      </c>
      <c r="C579" s="139" t="s">
        <v>978</v>
      </c>
      <c r="D579" s="140"/>
      <c r="E579" s="11" t="s">
        <v>102</v>
      </c>
      <c r="F579" s="12">
        <v>14</v>
      </c>
      <c r="G579" s="12">
        <v>12.82</v>
      </c>
      <c r="H579" s="12">
        <v>16.36</v>
      </c>
      <c r="I579" s="13">
        <f t="shared" ref="I579:I584" si="48">F579*G579</f>
        <v>179.48000000000002</v>
      </c>
      <c r="J579" s="13">
        <f t="shared" ref="J579:J584" si="49">F579*H579</f>
        <v>229.04</v>
      </c>
    </row>
    <row r="580" spans="1:10" s="1" customFormat="1" ht="25.5" customHeight="1" x14ac:dyDescent="0.2">
      <c r="A580" s="11" t="s">
        <v>308</v>
      </c>
      <c r="B580" s="25">
        <v>44532</v>
      </c>
      <c r="C580" s="139" t="s">
        <v>979</v>
      </c>
      <c r="D580" s="140"/>
      <c r="E580" s="11" t="s">
        <v>102</v>
      </c>
      <c r="F580" s="12">
        <v>7</v>
      </c>
      <c r="G580" s="12">
        <v>3.9</v>
      </c>
      <c r="H580" s="12">
        <v>4.9800000000000004</v>
      </c>
      <c r="I580" s="13">
        <f t="shared" si="48"/>
        <v>27.3</v>
      </c>
      <c r="J580" s="13">
        <f t="shared" si="49"/>
        <v>34.86</v>
      </c>
    </row>
    <row r="581" spans="1:10" s="1" customFormat="1" ht="25.5" customHeight="1" x14ac:dyDescent="0.2">
      <c r="A581" s="11" t="s">
        <v>980</v>
      </c>
      <c r="B581" s="25">
        <v>44533</v>
      </c>
      <c r="C581" s="139" t="s">
        <v>981</v>
      </c>
      <c r="D581" s="140"/>
      <c r="E581" s="11" t="s">
        <v>102</v>
      </c>
      <c r="F581" s="12">
        <v>191</v>
      </c>
      <c r="G581" s="12">
        <v>16.91</v>
      </c>
      <c r="H581" s="12">
        <v>21.58</v>
      </c>
      <c r="I581" s="13">
        <f t="shared" si="48"/>
        <v>3229.81</v>
      </c>
      <c r="J581" s="13">
        <f t="shared" si="49"/>
        <v>4121.78</v>
      </c>
    </row>
    <row r="582" spans="1:10" s="1" customFormat="1" ht="25.5" customHeight="1" x14ac:dyDescent="0.2">
      <c r="A582" s="11" t="s">
        <v>982</v>
      </c>
      <c r="B582" s="25">
        <v>44534</v>
      </c>
      <c r="C582" s="139" t="s">
        <v>983</v>
      </c>
      <c r="D582" s="140"/>
      <c r="E582" s="11" t="s">
        <v>102</v>
      </c>
      <c r="F582" s="12">
        <v>8</v>
      </c>
      <c r="G582" s="12">
        <v>36.520000000000003</v>
      </c>
      <c r="H582" s="12">
        <v>46.6</v>
      </c>
      <c r="I582" s="13">
        <f t="shared" si="48"/>
        <v>292.16000000000003</v>
      </c>
      <c r="J582" s="13">
        <f t="shared" si="49"/>
        <v>372.8</v>
      </c>
    </row>
    <row r="583" spans="1:10" s="1" customFormat="1" ht="25.5" customHeight="1" x14ac:dyDescent="0.2">
      <c r="A583" s="10">
        <v>38093</v>
      </c>
      <c r="B583" s="25">
        <v>44535</v>
      </c>
      <c r="C583" s="139" t="s">
        <v>984</v>
      </c>
      <c r="D583" s="140"/>
      <c r="E583" s="11" t="s">
        <v>102</v>
      </c>
      <c r="F583" s="12">
        <v>191</v>
      </c>
      <c r="G583" s="12">
        <v>1.91</v>
      </c>
      <c r="H583" s="12">
        <v>2.44</v>
      </c>
      <c r="I583" s="13">
        <f t="shared" si="48"/>
        <v>364.81</v>
      </c>
      <c r="J583" s="13">
        <f t="shared" si="49"/>
        <v>466.03999999999996</v>
      </c>
    </row>
    <row r="584" spans="1:10" s="1" customFormat="1" ht="25.5" customHeight="1" x14ac:dyDescent="0.2">
      <c r="A584" s="10">
        <v>38091</v>
      </c>
      <c r="B584" s="25">
        <v>44536</v>
      </c>
      <c r="C584" s="139" t="s">
        <v>985</v>
      </c>
      <c r="D584" s="140"/>
      <c r="E584" s="11" t="s">
        <v>102</v>
      </c>
      <c r="F584" s="12">
        <v>28</v>
      </c>
      <c r="G584" s="12">
        <v>1.95</v>
      </c>
      <c r="H584" s="12">
        <v>2.4900000000000002</v>
      </c>
      <c r="I584" s="13">
        <f t="shared" si="48"/>
        <v>54.6</v>
      </c>
      <c r="J584" s="13">
        <f t="shared" si="49"/>
        <v>69.72</v>
      </c>
    </row>
    <row r="585" spans="1:10" s="1" customFormat="1" ht="25.5" customHeight="1" x14ac:dyDescent="0.2">
      <c r="A585" s="8"/>
      <c r="B585" s="149" t="s">
        <v>986</v>
      </c>
      <c r="C585" s="150"/>
      <c r="D585" s="150"/>
      <c r="E585" s="150"/>
      <c r="F585" s="150"/>
      <c r="G585" s="151"/>
      <c r="H585" s="8"/>
      <c r="I585" s="28">
        <f>SUM(I579:I584)</f>
        <v>4148.16</v>
      </c>
      <c r="J585" s="28">
        <f>SUM(J579:J584)</f>
        <v>5294.24</v>
      </c>
    </row>
    <row r="586" spans="1:10" s="1" customFormat="1" ht="25.5" customHeight="1" x14ac:dyDescent="0.2">
      <c r="A586" s="8"/>
      <c r="B586" s="9" t="s">
        <v>987</v>
      </c>
      <c r="C586" s="137" t="s">
        <v>988</v>
      </c>
      <c r="D586" s="152"/>
      <c r="E586" s="152"/>
      <c r="F586" s="152"/>
      <c r="G586" s="152"/>
      <c r="H586" s="152"/>
      <c r="I586" s="138"/>
      <c r="J586" s="8"/>
    </row>
    <row r="587" spans="1:10" s="1" customFormat="1" ht="25.5" customHeight="1" x14ac:dyDescent="0.2">
      <c r="A587" s="11" t="s">
        <v>989</v>
      </c>
      <c r="B587" s="11" t="s">
        <v>990</v>
      </c>
      <c r="C587" s="139" t="s">
        <v>991</v>
      </c>
      <c r="D587" s="140"/>
      <c r="E587" s="11" t="s">
        <v>102</v>
      </c>
      <c r="F587" s="12">
        <v>64</v>
      </c>
      <c r="G587" s="12">
        <v>3.46</v>
      </c>
      <c r="H587" s="12">
        <v>4.41</v>
      </c>
      <c r="I587" s="13">
        <f t="shared" ref="I587:I592" si="50">F587*G587</f>
        <v>221.44</v>
      </c>
      <c r="J587" s="13">
        <f t="shared" ref="J587:J592" si="51">F587*H587</f>
        <v>282.24</v>
      </c>
    </row>
    <row r="588" spans="1:10" s="1" customFormat="1" ht="25.5" customHeight="1" x14ac:dyDescent="0.2">
      <c r="A588" s="10">
        <v>11950</v>
      </c>
      <c r="B588" s="11" t="s">
        <v>992</v>
      </c>
      <c r="C588" s="139" t="s">
        <v>993</v>
      </c>
      <c r="D588" s="140"/>
      <c r="E588" s="11" t="s">
        <v>102</v>
      </c>
      <c r="F588" s="13">
        <v>1200</v>
      </c>
      <c r="G588" s="12">
        <v>0.14000000000000001</v>
      </c>
      <c r="H588" s="12">
        <v>0.18</v>
      </c>
      <c r="I588" s="13">
        <f t="shared" si="50"/>
        <v>168.00000000000003</v>
      </c>
      <c r="J588" s="13">
        <f t="shared" si="51"/>
        <v>216</v>
      </c>
    </row>
    <row r="589" spans="1:10" s="1" customFormat="1" ht="25.5" customHeight="1" x14ac:dyDescent="0.2">
      <c r="A589" s="11" t="s">
        <v>308</v>
      </c>
      <c r="B589" s="11" t="s">
        <v>994</v>
      </c>
      <c r="C589" s="139" t="s">
        <v>995</v>
      </c>
      <c r="D589" s="140"/>
      <c r="E589" s="11" t="s">
        <v>102</v>
      </c>
      <c r="F589" s="12">
        <v>32</v>
      </c>
      <c r="G589" s="12">
        <v>4.9000000000000004</v>
      </c>
      <c r="H589" s="12">
        <v>6.25</v>
      </c>
      <c r="I589" s="13">
        <f t="shared" si="50"/>
        <v>156.80000000000001</v>
      </c>
      <c r="J589" s="13">
        <f t="shared" si="51"/>
        <v>200</v>
      </c>
    </row>
    <row r="590" spans="1:10" s="1" customFormat="1" ht="25.5" customHeight="1" x14ac:dyDescent="0.2">
      <c r="A590" s="11" t="s">
        <v>308</v>
      </c>
      <c r="B590" s="11" t="s">
        <v>996</v>
      </c>
      <c r="C590" s="139" t="s">
        <v>997</v>
      </c>
      <c r="D590" s="140"/>
      <c r="E590" s="11" t="s">
        <v>102</v>
      </c>
      <c r="F590" s="12">
        <v>32</v>
      </c>
      <c r="G590" s="12">
        <v>17</v>
      </c>
      <c r="H590" s="12">
        <v>21.69</v>
      </c>
      <c r="I590" s="13">
        <f t="shared" si="50"/>
        <v>544</v>
      </c>
      <c r="J590" s="13">
        <f t="shared" si="51"/>
        <v>694.08</v>
      </c>
    </row>
    <row r="591" spans="1:10" s="1" customFormat="1" ht="25.5" customHeight="1" x14ac:dyDescent="0.2">
      <c r="A591" s="10">
        <v>39997</v>
      </c>
      <c r="B591" s="11" t="s">
        <v>998</v>
      </c>
      <c r="C591" s="139" t="s">
        <v>999</v>
      </c>
      <c r="D591" s="140"/>
      <c r="E591" s="11" t="s">
        <v>102</v>
      </c>
      <c r="F591" s="12">
        <v>300</v>
      </c>
      <c r="G591" s="12">
        <v>0.14000000000000001</v>
      </c>
      <c r="H591" s="12">
        <v>0.18</v>
      </c>
      <c r="I591" s="13">
        <f t="shared" si="50"/>
        <v>42.000000000000007</v>
      </c>
      <c r="J591" s="13">
        <f t="shared" si="51"/>
        <v>54</v>
      </c>
    </row>
    <row r="592" spans="1:10" s="1" customFormat="1" ht="25.5" customHeight="1" x14ac:dyDescent="0.2">
      <c r="A592" s="10">
        <v>39996</v>
      </c>
      <c r="B592" s="11" t="s">
        <v>1000</v>
      </c>
      <c r="C592" s="139" t="s">
        <v>1001</v>
      </c>
      <c r="D592" s="140"/>
      <c r="E592" s="11" t="s">
        <v>81</v>
      </c>
      <c r="F592" s="12">
        <v>120</v>
      </c>
      <c r="G592" s="12">
        <v>2.35</v>
      </c>
      <c r="H592" s="12">
        <v>3</v>
      </c>
      <c r="I592" s="13">
        <f t="shared" si="50"/>
        <v>282</v>
      </c>
      <c r="J592" s="13">
        <f t="shared" si="51"/>
        <v>360</v>
      </c>
    </row>
    <row r="593" spans="1:10" s="1" customFormat="1" ht="25.5" customHeight="1" x14ac:dyDescent="0.2">
      <c r="A593" s="8"/>
      <c r="B593" s="149" t="s">
        <v>1002</v>
      </c>
      <c r="C593" s="150"/>
      <c r="D593" s="150"/>
      <c r="E593" s="150"/>
      <c r="F593" s="150"/>
      <c r="G593" s="151"/>
      <c r="H593" s="8"/>
      <c r="I593" s="28">
        <f>SUM(I587:I592)</f>
        <v>1414.24</v>
      </c>
      <c r="J593" s="28">
        <f>SUM(J587:J592)</f>
        <v>1806.3200000000002</v>
      </c>
    </row>
    <row r="594" spans="1:10" s="1" customFormat="1" ht="25.5" customHeight="1" x14ac:dyDescent="0.2">
      <c r="A594" s="8"/>
      <c r="B594" s="9" t="s">
        <v>1003</v>
      </c>
      <c r="C594" s="137" t="s">
        <v>1004</v>
      </c>
      <c r="D594" s="152"/>
      <c r="E594" s="152"/>
      <c r="F594" s="152"/>
      <c r="G594" s="152"/>
      <c r="H594" s="152"/>
      <c r="I594" s="138"/>
      <c r="J594" s="8"/>
    </row>
    <row r="595" spans="1:10" s="1" customFormat="1" ht="25.5" customHeight="1" x14ac:dyDescent="0.2">
      <c r="A595" s="8"/>
      <c r="B595" s="9" t="s">
        <v>1005</v>
      </c>
      <c r="C595" s="137" t="s">
        <v>1006</v>
      </c>
      <c r="D595" s="152"/>
      <c r="E595" s="152"/>
      <c r="F595" s="152"/>
      <c r="G595" s="152"/>
      <c r="H595" s="152"/>
      <c r="I595" s="138"/>
      <c r="J595" s="8"/>
    </row>
    <row r="596" spans="1:10" s="1" customFormat="1" ht="25.5" customHeight="1" x14ac:dyDescent="0.2">
      <c r="A596" s="10">
        <v>4274</v>
      </c>
      <c r="B596" s="11" t="s">
        <v>1007</v>
      </c>
      <c r="C596" s="139" t="s">
        <v>1008</v>
      </c>
      <c r="D596" s="140"/>
      <c r="E596" s="11" t="s">
        <v>1009</v>
      </c>
      <c r="F596" s="12">
        <v>1</v>
      </c>
      <c r="G596" s="12">
        <v>72.459999999999994</v>
      </c>
      <c r="H596" s="12">
        <v>92.45</v>
      </c>
      <c r="I596" s="13">
        <f>F596*G596</f>
        <v>72.459999999999994</v>
      </c>
      <c r="J596" s="13">
        <f>F596*H596</f>
        <v>92.45</v>
      </c>
    </row>
    <row r="597" spans="1:10" s="1" customFormat="1" ht="25.5" customHeight="1" x14ac:dyDescent="0.2">
      <c r="A597" s="36">
        <v>863</v>
      </c>
      <c r="B597" s="11" t="s">
        <v>1010</v>
      </c>
      <c r="C597" s="139" t="s">
        <v>1011</v>
      </c>
      <c r="D597" s="140"/>
      <c r="E597" s="11" t="s">
        <v>81</v>
      </c>
      <c r="F597" s="12">
        <v>600</v>
      </c>
      <c r="G597" s="12">
        <v>13.97</v>
      </c>
      <c r="H597" s="12">
        <v>17.82</v>
      </c>
      <c r="I597" s="13">
        <f>F597*G597</f>
        <v>8382</v>
      </c>
      <c r="J597" s="13">
        <f>F597*H597</f>
        <v>10692</v>
      </c>
    </row>
    <row r="598" spans="1:10" s="1" customFormat="1" ht="25.5" customHeight="1" x14ac:dyDescent="0.2">
      <c r="A598" s="11" t="s">
        <v>1012</v>
      </c>
      <c r="B598" s="11" t="s">
        <v>1013</v>
      </c>
      <c r="C598" s="139" t="s">
        <v>1014</v>
      </c>
      <c r="D598" s="140"/>
      <c r="E598" s="11" t="s">
        <v>1009</v>
      </c>
      <c r="F598" s="12">
        <v>12</v>
      </c>
      <c r="G598" s="12">
        <v>61.88</v>
      </c>
      <c r="H598" s="12">
        <v>78.959999999999994</v>
      </c>
      <c r="I598" s="13">
        <f>F598*G598</f>
        <v>742.56000000000006</v>
      </c>
      <c r="J598" s="13">
        <f>F598*H598</f>
        <v>947.52</v>
      </c>
    </row>
    <row r="599" spans="1:10" s="1" customFormat="1" ht="25.5" customHeight="1" x14ac:dyDescent="0.2">
      <c r="A599" s="8"/>
      <c r="B599" s="9" t="s">
        <v>1015</v>
      </c>
      <c r="C599" s="137" t="s">
        <v>1016</v>
      </c>
      <c r="D599" s="138"/>
      <c r="E599" s="8"/>
      <c r="F599" s="8"/>
      <c r="G599" s="8"/>
      <c r="H599" s="8"/>
      <c r="I599" s="8"/>
      <c r="J599" s="8"/>
    </row>
    <row r="600" spans="1:10" s="1" customFormat="1" ht="25.5" customHeight="1" x14ac:dyDescent="0.2">
      <c r="A600" s="11" t="s">
        <v>308</v>
      </c>
      <c r="B600" s="11" t="s">
        <v>1017</v>
      </c>
      <c r="C600" s="139" t="s">
        <v>1018</v>
      </c>
      <c r="D600" s="140"/>
      <c r="E600" s="11" t="s">
        <v>1009</v>
      </c>
      <c r="F600" s="12">
        <v>2</v>
      </c>
      <c r="G600" s="12">
        <v>4.3899999999999997</v>
      </c>
      <c r="H600" s="12">
        <v>5.6</v>
      </c>
      <c r="I600" s="13">
        <f>F600*G600</f>
        <v>8.7799999999999994</v>
      </c>
      <c r="J600" s="13">
        <f>F600*H600</f>
        <v>11.2</v>
      </c>
    </row>
    <row r="601" spans="1:10" s="1" customFormat="1" ht="25.5" customHeight="1" x14ac:dyDescent="0.2">
      <c r="A601" s="11" t="s">
        <v>1019</v>
      </c>
      <c r="B601" s="11" t="s">
        <v>1020</v>
      </c>
      <c r="C601" s="139" t="s">
        <v>1021</v>
      </c>
      <c r="D601" s="140"/>
      <c r="E601" s="11" t="s">
        <v>1009</v>
      </c>
      <c r="F601" s="12">
        <v>40</v>
      </c>
      <c r="G601" s="12">
        <v>5.64</v>
      </c>
      <c r="H601" s="12">
        <v>7.2</v>
      </c>
      <c r="I601" s="13">
        <f>F601*G601</f>
        <v>225.6</v>
      </c>
      <c r="J601" s="13">
        <f>F601*H601</f>
        <v>288</v>
      </c>
    </row>
    <row r="602" spans="1:10" s="1" customFormat="1" ht="25.5" customHeight="1" x14ac:dyDescent="0.2">
      <c r="A602" s="11" t="s">
        <v>308</v>
      </c>
      <c r="B602" s="11" t="s">
        <v>1022</v>
      </c>
      <c r="C602" s="139" t="s">
        <v>1023</v>
      </c>
      <c r="D602" s="140"/>
      <c r="E602" s="11" t="s">
        <v>1009</v>
      </c>
      <c r="F602" s="12">
        <v>76</v>
      </c>
      <c r="G602" s="12">
        <v>1.84</v>
      </c>
      <c r="H602" s="12">
        <v>2.34</v>
      </c>
      <c r="I602" s="13">
        <f>F602*G602</f>
        <v>139.84</v>
      </c>
      <c r="J602" s="13">
        <f>F602*H602</f>
        <v>177.83999999999997</v>
      </c>
    </row>
    <row r="603" spans="1:10" s="1" customFormat="1" ht="25.5" customHeight="1" x14ac:dyDescent="0.2">
      <c r="A603" s="11" t="s">
        <v>1024</v>
      </c>
      <c r="B603" s="11" t="s">
        <v>1025</v>
      </c>
      <c r="C603" s="139" t="s">
        <v>1026</v>
      </c>
      <c r="D603" s="140"/>
      <c r="E603" s="11" t="s">
        <v>1009</v>
      </c>
      <c r="F603" s="12">
        <v>130</v>
      </c>
      <c r="G603" s="12">
        <v>6.28</v>
      </c>
      <c r="H603" s="12">
        <v>8.02</v>
      </c>
      <c r="I603" s="13">
        <f>F603*G603</f>
        <v>816.4</v>
      </c>
      <c r="J603" s="13">
        <f>F603*H603</f>
        <v>1042.5999999999999</v>
      </c>
    </row>
    <row r="604" spans="1:10" s="1" customFormat="1" ht="25.5" customHeight="1" x14ac:dyDescent="0.2">
      <c r="A604" s="8"/>
      <c r="B604" s="9" t="s">
        <v>1027</v>
      </c>
      <c r="C604" s="137" t="s">
        <v>1028</v>
      </c>
      <c r="D604" s="138"/>
      <c r="E604" s="8"/>
      <c r="F604" s="8"/>
      <c r="G604" s="8"/>
      <c r="H604" s="8"/>
      <c r="I604" s="8"/>
      <c r="J604" s="8"/>
    </row>
    <row r="605" spans="1:10" s="1" customFormat="1" ht="25.5" customHeight="1" x14ac:dyDescent="0.2">
      <c r="A605" s="11" t="s">
        <v>1012</v>
      </c>
      <c r="B605" s="11" t="s">
        <v>1029</v>
      </c>
      <c r="C605" s="139" t="s">
        <v>1014</v>
      </c>
      <c r="D605" s="140"/>
      <c r="E605" s="11" t="s">
        <v>1009</v>
      </c>
      <c r="F605" s="12">
        <v>34</v>
      </c>
      <c r="G605" s="12">
        <v>61.88</v>
      </c>
      <c r="H605" s="12">
        <v>78.959999999999994</v>
      </c>
      <c r="I605" s="13">
        <f>F605*G605</f>
        <v>2103.92</v>
      </c>
      <c r="J605" s="13">
        <f>F605*H605</f>
        <v>2684.64</v>
      </c>
    </row>
    <row r="606" spans="1:10" s="1" customFormat="1" ht="25.5" customHeight="1" x14ac:dyDescent="0.2">
      <c r="A606" s="8"/>
      <c r="B606" s="9" t="s">
        <v>1030</v>
      </c>
      <c r="C606" s="137" t="s">
        <v>1031</v>
      </c>
      <c r="D606" s="138"/>
      <c r="E606" s="8"/>
      <c r="F606" s="8"/>
      <c r="G606" s="8"/>
      <c r="H606" s="8"/>
      <c r="I606" s="8"/>
      <c r="J606" s="8"/>
    </row>
    <row r="607" spans="1:10" s="1" customFormat="1" ht="25.5" customHeight="1" x14ac:dyDescent="0.2">
      <c r="A607" s="11" t="s">
        <v>1012</v>
      </c>
      <c r="B607" s="11" t="s">
        <v>1032</v>
      </c>
      <c r="C607" s="139" t="s">
        <v>1014</v>
      </c>
      <c r="D607" s="140"/>
      <c r="E607" s="11" t="s">
        <v>1009</v>
      </c>
      <c r="F607" s="12">
        <v>43</v>
      </c>
      <c r="G607" s="12">
        <v>61.88</v>
      </c>
      <c r="H607" s="12">
        <v>78.959999999999994</v>
      </c>
      <c r="I607" s="13">
        <f>F607*G607</f>
        <v>2660.84</v>
      </c>
      <c r="J607" s="13">
        <f>F607*H607</f>
        <v>3395.2799999999997</v>
      </c>
    </row>
    <row r="608" spans="1:10" s="1" customFormat="1" ht="25.5" customHeight="1" x14ac:dyDescent="0.2">
      <c r="A608" s="11" t="s">
        <v>1033</v>
      </c>
      <c r="B608" s="11" t="s">
        <v>1034</v>
      </c>
      <c r="C608" s="139" t="s">
        <v>1035</v>
      </c>
      <c r="D608" s="140"/>
      <c r="E608" s="11" t="s">
        <v>1009</v>
      </c>
      <c r="F608" s="12">
        <v>2</v>
      </c>
      <c r="G608" s="12">
        <v>25.37</v>
      </c>
      <c r="H608" s="12">
        <v>32.369999999999997</v>
      </c>
      <c r="I608" s="13">
        <f>F608*G608</f>
        <v>50.74</v>
      </c>
      <c r="J608" s="13">
        <f>F608*H608</f>
        <v>64.739999999999995</v>
      </c>
    </row>
    <row r="609" spans="1:11" s="1" customFormat="1" ht="25.5" customHeight="1" x14ac:dyDescent="0.2">
      <c r="A609" s="10">
        <v>72254</v>
      </c>
      <c r="B609" s="11" t="s">
        <v>1036</v>
      </c>
      <c r="C609" s="139" t="s">
        <v>1037</v>
      </c>
      <c r="D609" s="140"/>
      <c r="E609" s="11" t="s">
        <v>81</v>
      </c>
      <c r="F609" s="12">
        <v>75</v>
      </c>
      <c r="G609" s="12">
        <v>30.9</v>
      </c>
      <c r="H609" s="12">
        <v>39.43</v>
      </c>
      <c r="I609" s="13">
        <f>F609*G609</f>
        <v>2317.5</v>
      </c>
      <c r="J609" s="13">
        <f>F609*H609</f>
        <v>2957.25</v>
      </c>
    </row>
    <row r="610" spans="1:11" s="1" customFormat="1" ht="25.5" customHeight="1" x14ac:dyDescent="0.2">
      <c r="A610" s="8"/>
      <c r="B610" s="9" t="s">
        <v>1038</v>
      </c>
      <c r="C610" s="137" t="s">
        <v>1039</v>
      </c>
      <c r="D610" s="138"/>
      <c r="E610" s="8"/>
      <c r="F610" s="8"/>
      <c r="G610" s="8"/>
      <c r="H610" s="8"/>
      <c r="I610" s="8"/>
      <c r="J610" s="8"/>
    </row>
    <row r="611" spans="1:11" s="1" customFormat="1" ht="25.5" customHeight="1" x14ac:dyDescent="0.2">
      <c r="A611" s="11" t="s">
        <v>1040</v>
      </c>
      <c r="B611" s="11" t="s">
        <v>1041</v>
      </c>
      <c r="C611" s="139" t="s">
        <v>1042</v>
      </c>
      <c r="D611" s="140"/>
      <c r="E611" s="11" t="s">
        <v>1009</v>
      </c>
      <c r="F611" s="12">
        <v>2</v>
      </c>
      <c r="G611" s="12">
        <v>202.58</v>
      </c>
      <c r="H611" s="12">
        <v>258.47000000000003</v>
      </c>
      <c r="I611" s="13">
        <f>F611*G611</f>
        <v>405.16</v>
      </c>
      <c r="J611" s="13">
        <f>F611*H611</f>
        <v>516.94000000000005</v>
      </c>
    </row>
    <row r="612" spans="1:11" s="1" customFormat="1" ht="25.5" customHeight="1" x14ac:dyDescent="0.2">
      <c r="A612" s="8"/>
      <c r="B612" s="149" t="s">
        <v>1043</v>
      </c>
      <c r="C612" s="150"/>
      <c r="D612" s="150"/>
      <c r="E612" s="150"/>
      <c r="F612" s="150"/>
      <c r="G612" s="151"/>
      <c r="H612" s="8"/>
      <c r="I612" s="28">
        <f>SUM(I596:I611)</f>
        <v>17925.8</v>
      </c>
      <c r="J612" s="28">
        <f>SUM(J596:J611)</f>
        <v>22870.460000000003</v>
      </c>
    </row>
    <row r="613" spans="1:11" s="1" customFormat="1" ht="25.5" customHeight="1" x14ac:dyDescent="0.2">
      <c r="A613" s="8"/>
      <c r="B613" s="149" t="s">
        <v>1044</v>
      </c>
      <c r="C613" s="150"/>
      <c r="D613" s="150"/>
      <c r="E613" s="150"/>
      <c r="F613" s="150"/>
      <c r="G613" s="151"/>
      <c r="H613" s="8"/>
      <c r="I613" s="14">
        <f>SUM(I458,I462,I470,I475,I490,I506,I521,I535,I553,I562,I577,I585,I593,I612)-3.46</f>
        <v>112381.54000000001</v>
      </c>
      <c r="J613" s="15">
        <f>SUM(J458,J462,J470,J475,J490,J506,J521,J535,J553,J562,J577,J585,J593,J612)+30.4</f>
        <v>143387.61000000002</v>
      </c>
      <c r="K613" s="49"/>
    </row>
    <row r="614" spans="1:11" s="1" customFormat="1" ht="25.5" customHeight="1" x14ac:dyDescent="0.2">
      <c r="A614" s="8"/>
      <c r="B614" s="9" t="s">
        <v>1045</v>
      </c>
      <c r="C614" s="137" t="s">
        <v>1046</v>
      </c>
      <c r="D614" s="138"/>
      <c r="E614" s="8"/>
      <c r="F614" s="8"/>
      <c r="G614" s="8"/>
      <c r="H614" s="8"/>
      <c r="I614" s="8"/>
      <c r="J614" s="8"/>
    </row>
    <row r="615" spans="1:11" s="1" customFormat="1" ht="25.5" customHeight="1" x14ac:dyDescent="0.2">
      <c r="A615" s="8"/>
      <c r="B615" s="9" t="s">
        <v>1047</v>
      </c>
      <c r="C615" s="137" t="s">
        <v>1048</v>
      </c>
      <c r="D615" s="138"/>
      <c r="E615" s="8"/>
      <c r="F615" s="8"/>
      <c r="G615" s="8"/>
      <c r="H615" s="8"/>
      <c r="I615" s="8"/>
      <c r="J615" s="8"/>
    </row>
    <row r="616" spans="1:11" s="1" customFormat="1" ht="25.5" customHeight="1" x14ac:dyDescent="0.2">
      <c r="A616" s="10">
        <v>98302</v>
      </c>
      <c r="B616" s="21">
        <v>44562</v>
      </c>
      <c r="C616" s="139" t="s">
        <v>1049</v>
      </c>
      <c r="D616" s="140"/>
      <c r="E616" s="11" t="s">
        <v>102</v>
      </c>
      <c r="F616" s="12">
        <v>4</v>
      </c>
      <c r="G616" s="12">
        <v>683.89</v>
      </c>
      <c r="H616" s="12">
        <v>872.58</v>
      </c>
      <c r="I616" s="13">
        <f t="shared" ref="I616:I622" si="52">F616*G616</f>
        <v>2735.56</v>
      </c>
      <c r="J616" s="13">
        <f t="shared" ref="J616:J622" si="53">F616*H616</f>
        <v>3490.32</v>
      </c>
    </row>
    <row r="617" spans="1:11" s="1" customFormat="1" ht="25.5" customHeight="1" x14ac:dyDescent="0.2">
      <c r="A617" s="11" t="s">
        <v>308</v>
      </c>
      <c r="B617" s="21">
        <v>44563</v>
      </c>
      <c r="C617" s="139" t="s">
        <v>1050</v>
      </c>
      <c r="D617" s="140"/>
      <c r="E617" s="11" t="s">
        <v>102</v>
      </c>
      <c r="F617" s="12">
        <v>1</v>
      </c>
      <c r="G617" s="12">
        <v>159.38</v>
      </c>
      <c r="H617" s="12">
        <v>203.35</v>
      </c>
      <c r="I617" s="13">
        <f t="shared" si="52"/>
        <v>159.38</v>
      </c>
      <c r="J617" s="13">
        <f t="shared" si="53"/>
        <v>203.35</v>
      </c>
    </row>
    <row r="618" spans="1:11" s="1" customFormat="1" ht="25.5" customHeight="1" x14ac:dyDescent="0.2">
      <c r="A618" s="11" t="s">
        <v>1051</v>
      </c>
      <c r="B618" s="21">
        <v>44564</v>
      </c>
      <c r="C618" s="139" t="s">
        <v>1052</v>
      </c>
      <c r="D618" s="140"/>
      <c r="E618" s="11" t="s">
        <v>102</v>
      </c>
      <c r="F618" s="12">
        <v>6</v>
      </c>
      <c r="G618" s="12">
        <v>9.15</v>
      </c>
      <c r="H618" s="12">
        <v>11.68</v>
      </c>
      <c r="I618" s="13">
        <f t="shared" si="52"/>
        <v>54.900000000000006</v>
      </c>
      <c r="J618" s="13">
        <f t="shared" si="53"/>
        <v>70.08</v>
      </c>
    </row>
    <row r="619" spans="1:11" s="1" customFormat="1" ht="25.5" customHeight="1" x14ac:dyDescent="0.2">
      <c r="A619" s="11" t="s">
        <v>1051</v>
      </c>
      <c r="B619" s="21">
        <v>44565</v>
      </c>
      <c r="C619" s="139" t="s">
        <v>1053</v>
      </c>
      <c r="D619" s="140"/>
      <c r="E619" s="11" t="s">
        <v>102</v>
      </c>
      <c r="F619" s="12">
        <v>6</v>
      </c>
      <c r="G619" s="12">
        <v>9.15</v>
      </c>
      <c r="H619" s="12">
        <v>11.68</v>
      </c>
      <c r="I619" s="13">
        <f t="shared" si="52"/>
        <v>54.900000000000006</v>
      </c>
      <c r="J619" s="13">
        <f t="shared" si="53"/>
        <v>70.08</v>
      </c>
    </row>
    <row r="620" spans="1:11" s="1" customFormat="1" ht="25.5" customHeight="1" x14ac:dyDescent="0.2">
      <c r="A620" s="11" t="s">
        <v>308</v>
      </c>
      <c r="B620" s="21">
        <v>44566</v>
      </c>
      <c r="C620" s="139" t="s">
        <v>1054</v>
      </c>
      <c r="D620" s="140"/>
      <c r="E620" s="11" t="s">
        <v>102</v>
      </c>
      <c r="F620" s="12">
        <v>6</v>
      </c>
      <c r="G620" s="12">
        <v>84.99</v>
      </c>
      <c r="H620" s="12">
        <v>108.44</v>
      </c>
      <c r="I620" s="13">
        <f t="shared" si="52"/>
        <v>509.93999999999994</v>
      </c>
      <c r="J620" s="13">
        <f t="shared" si="53"/>
        <v>650.64</v>
      </c>
    </row>
    <row r="621" spans="1:11" s="1" customFormat="1" ht="25.5" customHeight="1" x14ac:dyDescent="0.2">
      <c r="A621" s="11" t="s">
        <v>1051</v>
      </c>
      <c r="B621" s="21">
        <v>44567</v>
      </c>
      <c r="C621" s="139" t="s">
        <v>1055</v>
      </c>
      <c r="D621" s="140"/>
      <c r="E621" s="11" t="s">
        <v>102</v>
      </c>
      <c r="F621" s="12">
        <v>2</v>
      </c>
      <c r="G621" s="12">
        <v>9.15</v>
      </c>
      <c r="H621" s="12">
        <v>11.68</v>
      </c>
      <c r="I621" s="13">
        <f t="shared" si="52"/>
        <v>18.3</v>
      </c>
      <c r="J621" s="13">
        <f t="shared" si="53"/>
        <v>23.36</v>
      </c>
    </row>
    <row r="622" spans="1:11" s="1" customFormat="1" ht="25.5" customHeight="1" x14ac:dyDescent="0.2">
      <c r="A622" s="11" t="s">
        <v>1051</v>
      </c>
      <c r="B622" s="21">
        <v>44568</v>
      </c>
      <c r="C622" s="139" t="s">
        <v>1056</v>
      </c>
      <c r="D622" s="140"/>
      <c r="E622" s="11" t="s">
        <v>102</v>
      </c>
      <c r="F622" s="12">
        <v>1</v>
      </c>
      <c r="G622" s="12">
        <v>9.15</v>
      </c>
      <c r="H622" s="12">
        <v>11.68</v>
      </c>
      <c r="I622" s="13">
        <f t="shared" si="52"/>
        <v>9.15</v>
      </c>
      <c r="J622" s="13">
        <f t="shared" si="53"/>
        <v>11.68</v>
      </c>
    </row>
    <row r="623" spans="1:11" s="1" customFormat="1" ht="25.5" customHeight="1" x14ac:dyDescent="0.2">
      <c r="A623" s="8"/>
      <c r="B623" s="9" t="s">
        <v>1057</v>
      </c>
      <c r="C623" s="137" t="s">
        <v>1058</v>
      </c>
      <c r="D623" s="138"/>
      <c r="E623" s="8"/>
      <c r="F623" s="8"/>
      <c r="G623" s="8"/>
      <c r="H623" s="8"/>
      <c r="I623" s="8"/>
      <c r="J623" s="8"/>
    </row>
    <row r="624" spans="1:11" s="1" customFormat="1" ht="25.5" customHeight="1" x14ac:dyDescent="0.2">
      <c r="A624" s="11" t="s">
        <v>308</v>
      </c>
      <c r="B624" s="21">
        <v>44593</v>
      </c>
      <c r="C624" s="139" t="s">
        <v>1059</v>
      </c>
      <c r="D624" s="140"/>
      <c r="E624" s="11" t="s">
        <v>81</v>
      </c>
      <c r="F624" s="12">
        <v>890</v>
      </c>
      <c r="G624" s="12">
        <v>2.84</v>
      </c>
      <c r="H624" s="12">
        <v>3.62</v>
      </c>
      <c r="I624" s="13">
        <f>F624*G624</f>
        <v>2527.6</v>
      </c>
      <c r="J624" s="13">
        <f>F624*H624</f>
        <v>3221.8</v>
      </c>
    </row>
    <row r="625" spans="1:10" s="1" customFormat="1" ht="25.5" customHeight="1" x14ac:dyDescent="0.2">
      <c r="A625" s="10">
        <v>98268</v>
      </c>
      <c r="B625" s="21">
        <v>44594</v>
      </c>
      <c r="C625" s="139" t="s">
        <v>1060</v>
      </c>
      <c r="D625" s="140"/>
      <c r="E625" s="11" t="s">
        <v>81</v>
      </c>
      <c r="F625" s="12">
        <v>8</v>
      </c>
      <c r="G625" s="12">
        <v>10.48</v>
      </c>
      <c r="H625" s="12">
        <v>13.37</v>
      </c>
      <c r="I625" s="13">
        <f>F625*G625</f>
        <v>83.84</v>
      </c>
      <c r="J625" s="13">
        <f>F625*H625</f>
        <v>106.96</v>
      </c>
    </row>
    <row r="626" spans="1:10" s="1" customFormat="1" ht="25.5" customHeight="1" x14ac:dyDescent="0.2">
      <c r="A626" s="8"/>
      <c r="B626" s="9" t="s">
        <v>1061</v>
      </c>
      <c r="C626" s="137" t="s">
        <v>1062</v>
      </c>
      <c r="D626" s="138"/>
      <c r="E626" s="8"/>
      <c r="F626" s="8"/>
      <c r="G626" s="8"/>
      <c r="H626" s="8"/>
      <c r="I626" s="8"/>
      <c r="J626" s="8"/>
    </row>
    <row r="627" spans="1:10" s="1" customFormat="1" ht="25.5" customHeight="1" x14ac:dyDescent="0.2">
      <c r="A627" s="10">
        <v>39606</v>
      </c>
      <c r="B627" s="21">
        <v>44621</v>
      </c>
      <c r="C627" s="139" t="s">
        <v>1063</v>
      </c>
      <c r="D627" s="140"/>
      <c r="E627" s="11" t="s">
        <v>102</v>
      </c>
      <c r="F627" s="12">
        <v>41</v>
      </c>
      <c r="G627" s="12">
        <v>24.43</v>
      </c>
      <c r="H627" s="12">
        <v>31.17</v>
      </c>
      <c r="I627" s="13">
        <f>F627*G627</f>
        <v>1001.63</v>
      </c>
      <c r="J627" s="13">
        <f>F627*H627</f>
        <v>1277.97</v>
      </c>
    </row>
    <row r="628" spans="1:10" s="1" customFormat="1" ht="25.5" customHeight="1" x14ac:dyDescent="0.2">
      <c r="A628" s="10">
        <v>39604</v>
      </c>
      <c r="B628" s="21">
        <v>44622</v>
      </c>
      <c r="C628" s="139" t="s">
        <v>1064</v>
      </c>
      <c r="D628" s="140"/>
      <c r="E628" s="11" t="s">
        <v>102</v>
      </c>
      <c r="F628" s="12">
        <v>48</v>
      </c>
      <c r="G628" s="12">
        <v>24.43</v>
      </c>
      <c r="H628" s="12">
        <v>31.17</v>
      </c>
      <c r="I628" s="13">
        <f>F628*G628</f>
        <v>1172.6399999999999</v>
      </c>
      <c r="J628" s="13">
        <f>F628*H628</f>
        <v>1496.16</v>
      </c>
    </row>
    <row r="629" spans="1:10" s="1" customFormat="1" ht="25.5" customHeight="1" x14ac:dyDescent="0.2">
      <c r="A629" s="11" t="s">
        <v>308</v>
      </c>
      <c r="B629" s="21">
        <v>44623</v>
      </c>
      <c r="C629" s="139" t="s">
        <v>1065</v>
      </c>
      <c r="D629" s="140"/>
      <c r="E629" s="11" t="s">
        <v>102</v>
      </c>
      <c r="F629" s="12">
        <v>35</v>
      </c>
      <c r="G629" s="12">
        <v>24.43</v>
      </c>
      <c r="H629" s="12">
        <v>31.17</v>
      </c>
      <c r="I629" s="13">
        <f>F629*G629</f>
        <v>855.05</v>
      </c>
      <c r="J629" s="13">
        <f>F629*H629</f>
        <v>1090.95</v>
      </c>
    </row>
    <row r="630" spans="1:10" s="1" customFormat="1" ht="25.5" customHeight="1" x14ac:dyDescent="0.2">
      <c r="A630" s="11" t="s">
        <v>308</v>
      </c>
      <c r="B630" s="21">
        <v>44624</v>
      </c>
      <c r="C630" s="139" t="s">
        <v>1066</v>
      </c>
      <c r="D630" s="140"/>
      <c r="E630" s="11" t="s">
        <v>102</v>
      </c>
      <c r="F630" s="12">
        <v>15</v>
      </c>
      <c r="G630" s="12">
        <v>24.43</v>
      </c>
      <c r="H630" s="12">
        <v>31.17</v>
      </c>
      <c r="I630" s="13">
        <f>F630*G630</f>
        <v>366.45</v>
      </c>
      <c r="J630" s="13">
        <f>F630*H630</f>
        <v>467.55</v>
      </c>
    </row>
    <row r="631" spans="1:10" s="1" customFormat="1" ht="25.5" customHeight="1" x14ac:dyDescent="0.2">
      <c r="A631" s="8"/>
      <c r="B631" s="9" t="s">
        <v>1067</v>
      </c>
      <c r="C631" s="137" t="s">
        <v>977</v>
      </c>
      <c r="D631" s="138"/>
      <c r="E631" s="8"/>
      <c r="F631" s="8"/>
      <c r="G631" s="8"/>
      <c r="H631" s="8"/>
      <c r="I631" s="8"/>
      <c r="J631" s="8"/>
    </row>
    <row r="632" spans="1:10" s="1" customFormat="1" ht="25.5" customHeight="1" x14ac:dyDescent="0.2">
      <c r="A632" s="11" t="s">
        <v>308</v>
      </c>
      <c r="B632" s="21">
        <v>44652</v>
      </c>
      <c r="C632" s="139" t="s">
        <v>1068</v>
      </c>
      <c r="D632" s="140"/>
      <c r="E632" s="11" t="s">
        <v>102</v>
      </c>
      <c r="F632" s="12">
        <v>41</v>
      </c>
      <c r="G632" s="12">
        <v>23.36</v>
      </c>
      <c r="H632" s="12">
        <v>29.81</v>
      </c>
      <c r="I632" s="13">
        <f>F632*G632</f>
        <v>957.76</v>
      </c>
      <c r="J632" s="13">
        <f>F632*H632</f>
        <v>1222.21</v>
      </c>
    </row>
    <row r="633" spans="1:10" s="1" customFormat="1" ht="25.5" customHeight="1" x14ac:dyDescent="0.2">
      <c r="A633" s="11" t="s">
        <v>308</v>
      </c>
      <c r="B633" s="21">
        <v>44653</v>
      </c>
      <c r="C633" s="139" t="s">
        <v>1069</v>
      </c>
      <c r="D633" s="140"/>
      <c r="E633" s="11" t="s">
        <v>102</v>
      </c>
      <c r="F633" s="12">
        <v>2</v>
      </c>
      <c r="G633" s="12">
        <v>3.6</v>
      </c>
      <c r="H633" s="12">
        <v>4.59</v>
      </c>
      <c r="I633" s="13">
        <f>F633*G633</f>
        <v>7.2</v>
      </c>
      <c r="J633" s="13">
        <f>F633*H633</f>
        <v>9.18</v>
      </c>
    </row>
    <row r="634" spans="1:10" s="1" customFormat="1" ht="25.5" customHeight="1" x14ac:dyDescent="0.2">
      <c r="A634" s="8"/>
      <c r="B634" s="9" t="s">
        <v>1070</v>
      </c>
      <c r="C634" s="137" t="s">
        <v>1071</v>
      </c>
      <c r="D634" s="138"/>
      <c r="E634" s="8"/>
      <c r="F634" s="8"/>
      <c r="G634" s="8"/>
      <c r="H634" s="8"/>
      <c r="I634" s="8"/>
      <c r="J634" s="8"/>
    </row>
    <row r="635" spans="1:10" s="1" customFormat="1" ht="25.5" customHeight="1" x14ac:dyDescent="0.2">
      <c r="A635" s="10">
        <v>2559</v>
      </c>
      <c r="B635" s="21">
        <v>44682</v>
      </c>
      <c r="C635" s="139" t="s">
        <v>1072</v>
      </c>
      <c r="D635" s="140"/>
      <c r="E635" s="11" t="s">
        <v>102</v>
      </c>
      <c r="F635" s="12">
        <v>2</v>
      </c>
      <c r="G635" s="12">
        <v>8.5</v>
      </c>
      <c r="H635" s="12">
        <v>10.85</v>
      </c>
      <c r="I635" s="13">
        <f t="shared" ref="I635:I642" si="54">F635*G635</f>
        <v>17</v>
      </c>
      <c r="J635" s="13">
        <f t="shared" ref="J635:J642" si="55">F635*H635</f>
        <v>21.7</v>
      </c>
    </row>
    <row r="636" spans="1:10" s="1" customFormat="1" ht="25.5" customHeight="1" x14ac:dyDescent="0.2">
      <c r="A636" s="11" t="s">
        <v>78</v>
      </c>
      <c r="B636" s="21">
        <v>44683</v>
      </c>
      <c r="C636" s="139" t="s">
        <v>1073</v>
      </c>
      <c r="D636" s="140"/>
      <c r="E636" s="11" t="s">
        <v>102</v>
      </c>
      <c r="F636" s="12">
        <v>1</v>
      </c>
      <c r="G636" s="12">
        <v>344.17</v>
      </c>
      <c r="H636" s="12">
        <v>439.13</v>
      </c>
      <c r="I636" s="13">
        <f t="shared" si="54"/>
        <v>344.17</v>
      </c>
      <c r="J636" s="13">
        <f t="shared" si="55"/>
        <v>439.13</v>
      </c>
    </row>
    <row r="637" spans="1:10" s="1" customFormat="1" ht="25.5" customHeight="1" x14ac:dyDescent="0.2">
      <c r="A637" s="11" t="s">
        <v>78</v>
      </c>
      <c r="B637" s="21">
        <v>44684</v>
      </c>
      <c r="C637" s="139" t="s">
        <v>1074</v>
      </c>
      <c r="D637" s="140"/>
      <c r="E637" s="11" t="s">
        <v>102</v>
      </c>
      <c r="F637" s="12">
        <v>2</v>
      </c>
      <c r="G637" s="12">
        <v>191.15</v>
      </c>
      <c r="H637" s="12">
        <v>243.89</v>
      </c>
      <c r="I637" s="13">
        <f t="shared" si="54"/>
        <v>382.3</v>
      </c>
      <c r="J637" s="13">
        <f t="shared" si="55"/>
        <v>487.78</v>
      </c>
    </row>
    <row r="638" spans="1:10" s="1" customFormat="1" ht="25.5" customHeight="1" x14ac:dyDescent="0.2">
      <c r="A638" s="11" t="s">
        <v>308</v>
      </c>
      <c r="B638" s="21">
        <v>44685</v>
      </c>
      <c r="C638" s="139" t="s">
        <v>1075</v>
      </c>
      <c r="D638" s="140"/>
      <c r="E638" s="11" t="s">
        <v>102</v>
      </c>
      <c r="F638" s="12">
        <v>1</v>
      </c>
      <c r="G638" s="12">
        <v>7.52</v>
      </c>
      <c r="H638" s="12">
        <v>9.59</v>
      </c>
      <c r="I638" s="13">
        <f t="shared" si="54"/>
        <v>7.52</v>
      </c>
      <c r="J638" s="13">
        <f t="shared" si="55"/>
        <v>9.59</v>
      </c>
    </row>
    <row r="639" spans="1:10" s="1" customFormat="1" ht="25.5" customHeight="1" x14ac:dyDescent="0.2">
      <c r="A639" s="11" t="s">
        <v>308</v>
      </c>
      <c r="B639" s="21">
        <v>44686</v>
      </c>
      <c r="C639" s="139" t="s">
        <v>1076</v>
      </c>
      <c r="D639" s="140"/>
      <c r="E639" s="11" t="s">
        <v>102</v>
      </c>
      <c r="F639" s="12">
        <v>13</v>
      </c>
      <c r="G639" s="12">
        <v>8.4</v>
      </c>
      <c r="H639" s="12">
        <v>10.72</v>
      </c>
      <c r="I639" s="13">
        <f t="shared" si="54"/>
        <v>109.2</v>
      </c>
      <c r="J639" s="13">
        <f t="shared" si="55"/>
        <v>139.36000000000001</v>
      </c>
    </row>
    <row r="640" spans="1:10" s="1" customFormat="1" ht="25.5" customHeight="1" x14ac:dyDescent="0.2">
      <c r="A640" s="11" t="s">
        <v>308</v>
      </c>
      <c r="B640" s="21">
        <v>44687</v>
      </c>
      <c r="C640" s="139" t="s">
        <v>1077</v>
      </c>
      <c r="D640" s="140"/>
      <c r="E640" s="11" t="s">
        <v>102</v>
      </c>
      <c r="F640" s="12">
        <v>1</v>
      </c>
      <c r="G640" s="12">
        <v>2.4900000000000002</v>
      </c>
      <c r="H640" s="12">
        <v>3.18</v>
      </c>
      <c r="I640" s="13">
        <f t="shared" si="54"/>
        <v>2.4900000000000002</v>
      </c>
      <c r="J640" s="13">
        <f t="shared" si="55"/>
        <v>3.18</v>
      </c>
    </row>
    <row r="641" spans="1:10" s="1" customFormat="1" ht="25.5" customHeight="1" x14ac:dyDescent="0.2">
      <c r="A641" s="11" t="s">
        <v>308</v>
      </c>
      <c r="B641" s="21">
        <v>44688</v>
      </c>
      <c r="C641" s="139" t="s">
        <v>1078</v>
      </c>
      <c r="D641" s="140"/>
      <c r="E641" s="11" t="s">
        <v>102</v>
      </c>
      <c r="F641" s="12">
        <v>1</v>
      </c>
      <c r="G641" s="12">
        <v>2.46</v>
      </c>
      <c r="H641" s="12">
        <v>3.14</v>
      </c>
      <c r="I641" s="13">
        <f t="shared" si="54"/>
        <v>2.46</v>
      </c>
      <c r="J641" s="13">
        <f t="shared" si="55"/>
        <v>3.14</v>
      </c>
    </row>
    <row r="642" spans="1:10" s="1" customFormat="1" ht="25.5" customHeight="1" x14ac:dyDescent="0.2">
      <c r="A642" s="11" t="s">
        <v>308</v>
      </c>
      <c r="B642" s="21">
        <v>44689</v>
      </c>
      <c r="C642" s="139" t="s">
        <v>1079</v>
      </c>
      <c r="D642" s="140"/>
      <c r="E642" s="11" t="s">
        <v>102</v>
      </c>
      <c r="F642" s="12">
        <v>14</v>
      </c>
      <c r="G642" s="12">
        <v>3.26</v>
      </c>
      <c r="H642" s="12">
        <v>4.16</v>
      </c>
      <c r="I642" s="13">
        <f t="shared" si="54"/>
        <v>45.64</v>
      </c>
      <c r="J642" s="13">
        <f t="shared" si="55"/>
        <v>58.24</v>
      </c>
    </row>
    <row r="643" spans="1:10" s="1" customFormat="1" ht="25.5" customHeight="1" x14ac:dyDescent="0.2">
      <c r="A643" s="8"/>
      <c r="B643" s="9" t="s">
        <v>1080</v>
      </c>
      <c r="C643" s="137" t="s">
        <v>856</v>
      </c>
      <c r="D643" s="138"/>
      <c r="E643" s="8"/>
      <c r="F643" s="8"/>
      <c r="G643" s="8"/>
      <c r="H643" s="8"/>
      <c r="I643" s="8"/>
      <c r="J643" s="8"/>
    </row>
    <row r="644" spans="1:10" s="1" customFormat="1" ht="25.5" customHeight="1" x14ac:dyDescent="0.2">
      <c r="A644" s="8"/>
      <c r="B644" s="46"/>
      <c r="C644" s="139" t="s">
        <v>1081</v>
      </c>
      <c r="D644" s="140"/>
      <c r="E644" s="8"/>
      <c r="F644" s="8"/>
      <c r="G644" s="8"/>
      <c r="H644" s="8"/>
      <c r="I644" s="8"/>
      <c r="J644" s="8"/>
    </row>
    <row r="645" spans="1:10" s="1" customFormat="1" ht="25.5" customHeight="1" x14ac:dyDescent="0.2">
      <c r="A645" s="11" t="s">
        <v>308</v>
      </c>
      <c r="B645" s="21">
        <v>44713</v>
      </c>
      <c r="C645" s="139" t="s">
        <v>1082</v>
      </c>
      <c r="D645" s="140"/>
      <c r="E645" s="11" t="s">
        <v>81</v>
      </c>
      <c r="F645" s="12">
        <v>1</v>
      </c>
      <c r="G645" s="12">
        <v>9.9499999999999993</v>
      </c>
      <c r="H645" s="12">
        <v>12.7</v>
      </c>
      <c r="I645" s="13">
        <f>F645*G645</f>
        <v>9.9499999999999993</v>
      </c>
      <c r="J645" s="13">
        <f>F645*H645</f>
        <v>12.7</v>
      </c>
    </row>
    <row r="646" spans="1:10" s="1" customFormat="1" ht="25.5" customHeight="1" x14ac:dyDescent="0.2">
      <c r="A646" s="11" t="s">
        <v>308</v>
      </c>
      <c r="B646" s="21">
        <v>44714</v>
      </c>
      <c r="C646" s="139" t="s">
        <v>1083</v>
      </c>
      <c r="D646" s="140"/>
      <c r="E646" s="11" t="s">
        <v>81</v>
      </c>
      <c r="F646" s="12">
        <v>70</v>
      </c>
      <c r="G646" s="12">
        <v>5.24</v>
      </c>
      <c r="H646" s="12">
        <v>6.69</v>
      </c>
      <c r="I646" s="13">
        <f>F646*G646</f>
        <v>366.8</v>
      </c>
      <c r="J646" s="13">
        <f>F646*H646</f>
        <v>468.3</v>
      </c>
    </row>
    <row r="647" spans="1:10" s="1" customFormat="1" ht="25.5" customHeight="1" x14ac:dyDescent="0.2">
      <c r="A647" s="8"/>
      <c r="B647" s="46"/>
      <c r="C647" s="139" t="s">
        <v>1084</v>
      </c>
      <c r="D647" s="140"/>
      <c r="E647" s="8"/>
      <c r="F647" s="8"/>
      <c r="G647" s="8"/>
      <c r="H647" s="8"/>
      <c r="I647" s="8"/>
      <c r="J647" s="8"/>
    </row>
    <row r="648" spans="1:10" s="1" customFormat="1" ht="25.5" customHeight="1" x14ac:dyDescent="0.2">
      <c r="A648" s="11" t="s">
        <v>308</v>
      </c>
      <c r="B648" s="21">
        <v>44715</v>
      </c>
      <c r="C648" s="139" t="s">
        <v>1083</v>
      </c>
      <c r="D648" s="140"/>
      <c r="E648" s="11" t="s">
        <v>81</v>
      </c>
      <c r="F648" s="12">
        <v>10</v>
      </c>
      <c r="G648" s="12">
        <v>12.83</v>
      </c>
      <c r="H648" s="12">
        <v>16.37</v>
      </c>
      <c r="I648" s="13">
        <f>F648*G648</f>
        <v>128.30000000000001</v>
      </c>
      <c r="J648" s="13">
        <f>F648*H648</f>
        <v>163.70000000000002</v>
      </c>
    </row>
    <row r="649" spans="1:10" s="1" customFormat="1" ht="25.5" customHeight="1" x14ac:dyDescent="0.2">
      <c r="A649" s="8"/>
      <c r="B649" s="46"/>
      <c r="C649" s="139" t="s">
        <v>1085</v>
      </c>
      <c r="D649" s="140"/>
      <c r="E649" s="8"/>
      <c r="F649" s="8"/>
      <c r="G649" s="8"/>
      <c r="H649" s="8"/>
      <c r="I649" s="8"/>
      <c r="J649" s="8"/>
    </row>
    <row r="650" spans="1:10" s="1" customFormat="1" ht="25.5" customHeight="1" x14ac:dyDescent="0.2">
      <c r="A650" s="11" t="s">
        <v>308</v>
      </c>
      <c r="B650" s="21">
        <v>44716</v>
      </c>
      <c r="C650" s="139" t="s">
        <v>1083</v>
      </c>
      <c r="D650" s="140"/>
      <c r="E650" s="11" t="s">
        <v>81</v>
      </c>
      <c r="F650" s="12">
        <v>45</v>
      </c>
      <c r="G650" s="12">
        <v>12.83</v>
      </c>
      <c r="H650" s="12">
        <v>16.37</v>
      </c>
      <c r="I650" s="13">
        <f>F650*G650</f>
        <v>577.35</v>
      </c>
      <c r="J650" s="13">
        <f>F650*H650</f>
        <v>736.65000000000009</v>
      </c>
    </row>
    <row r="651" spans="1:10" s="1" customFormat="1" ht="25.5" customHeight="1" x14ac:dyDescent="0.2">
      <c r="A651" s="8"/>
      <c r="B651" s="46"/>
      <c r="C651" s="139" t="s">
        <v>1086</v>
      </c>
      <c r="D651" s="140"/>
      <c r="E651" s="8"/>
      <c r="F651" s="8"/>
      <c r="G651" s="8"/>
      <c r="H651" s="8"/>
      <c r="I651" s="8"/>
      <c r="J651" s="8"/>
    </row>
    <row r="652" spans="1:10" s="1" customFormat="1" ht="25.5" customHeight="1" x14ac:dyDescent="0.2">
      <c r="A652" s="11" t="s">
        <v>308</v>
      </c>
      <c r="B652" s="21">
        <v>44717</v>
      </c>
      <c r="C652" s="139" t="s">
        <v>1087</v>
      </c>
      <c r="D652" s="140"/>
      <c r="E652" s="11" t="s">
        <v>81</v>
      </c>
      <c r="F652" s="12">
        <v>10</v>
      </c>
      <c r="G652" s="12">
        <v>6.65</v>
      </c>
      <c r="H652" s="12">
        <v>8.48</v>
      </c>
      <c r="I652" s="13">
        <f>F652*G652</f>
        <v>66.5</v>
      </c>
      <c r="J652" s="13">
        <f>F652*H652</f>
        <v>84.800000000000011</v>
      </c>
    </row>
    <row r="653" spans="1:10" s="1" customFormat="1" ht="25.5" customHeight="1" x14ac:dyDescent="0.2">
      <c r="A653" s="8"/>
      <c r="B653" s="46"/>
      <c r="C653" s="139" t="s">
        <v>1088</v>
      </c>
      <c r="D653" s="140"/>
      <c r="E653" s="8"/>
      <c r="F653" s="8"/>
      <c r="G653" s="8"/>
      <c r="H653" s="8"/>
      <c r="I653" s="8"/>
      <c r="J653" s="8"/>
    </row>
    <row r="654" spans="1:10" s="1" customFormat="1" ht="25.5" customHeight="1" x14ac:dyDescent="0.2">
      <c r="A654" s="11" t="s">
        <v>308</v>
      </c>
      <c r="B654" s="21">
        <v>44718</v>
      </c>
      <c r="C654" s="139" t="s">
        <v>1083</v>
      </c>
      <c r="D654" s="140"/>
      <c r="E654" s="11" t="s">
        <v>102</v>
      </c>
      <c r="F654" s="12">
        <v>75</v>
      </c>
      <c r="G654" s="12">
        <v>0.7</v>
      </c>
      <c r="H654" s="12">
        <v>0.89</v>
      </c>
      <c r="I654" s="13">
        <f t="shared" ref="I654:I659" si="56">F654*G654</f>
        <v>52.5</v>
      </c>
      <c r="J654" s="13">
        <f t="shared" ref="J654:J659" si="57">F654*H654</f>
        <v>66.75</v>
      </c>
    </row>
    <row r="655" spans="1:10" s="1" customFormat="1" ht="25.5" customHeight="1" x14ac:dyDescent="0.2">
      <c r="A655" s="11" t="s">
        <v>308</v>
      </c>
      <c r="B655" s="21">
        <v>44719</v>
      </c>
      <c r="C655" s="139" t="s">
        <v>1089</v>
      </c>
      <c r="D655" s="140"/>
      <c r="E655" s="11" t="s">
        <v>102</v>
      </c>
      <c r="F655" s="12">
        <v>75</v>
      </c>
      <c r="G655" s="12">
        <v>6.95</v>
      </c>
      <c r="H655" s="12">
        <v>8.8699999999999992</v>
      </c>
      <c r="I655" s="13">
        <f t="shared" si="56"/>
        <v>521.25</v>
      </c>
      <c r="J655" s="13">
        <f t="shared" si="57"/>
        <v>665.24999999999989</v>
      </c>
    </row>
    <row r="656" spans="1:10" s="1" customFormat="1" ht="25.5" customHeight="1" x14ac:dyDescent="0.2">
      <c r="A656" s="10">
        <v>4376</v>
      </c>
      <c r="B656" s="21">
        <v>44720</v>
      </c>
      <c r="C656" s="139" t="s">
        <v>1090</v>
      </c>
      <c r="D656" s="140"/>
      <c r="E656" s="11" t="s">
        <v>102</v>
      </c>
      <c r="F656" s="12">
        <v>75</v>
      </c>
      <c r="G656" s="12">
        <v>0.13</v>
      </c>
      <c r="H656" s="12">
        <v>0.17</v>
      </c>
      <c r="I656" s="13">
        <f t="shared" si="56"/>
        <v>9.75</v>
      </c>
      <c r="J656" s="13">
        <f t="shared" si="57"/>
        <v>12.750000000000002</v>
      </c>
    </row>
    <row r="657" spans="1:10" s="1" customFormat="1" ht="25.5" customHeight="1" x14ac:dyDescent="0.2">
      <c r="A657" s="11" t="s">
        <v>308</v>
      </c>
      <c r="B657" s="21">
        <v>44721</v>
      </c>
      <c r="C657" s="139" t="s">
        <v>1091</v>
      </c>
      <c r="D657" s="140"/>
      <c r="E657" s="11" t="s">
        <v>102</v>
      </c>
      <c r="F657" s="12">
        <v>75</v>
      </c>
      <c r="G657" s="12">
        <v>0.32</v>
      </c>
      <c r="H657" s="12">
        <v>0.41</v>
      </c>
      <c r="I657" s="13">
        <f t="shared" si="56"/>
        <v>24</v>
      </c>
      <c r="J657" s="13">
        <f t="shared" si="57"/>
        <v>30.749999999999996</v>
      </c>
    </row>
    <row r="658" spans="1:10" s="1" customFormat="1" ht="25.5" customHeight="1" x14ac:dyDescent="0.2">
      <c r="A658" s="11" t="s">
        <v>308</v>
      </c>
      <c r="B658" s="34">
        <v>40351</v>
      </c>
      <c r="C658" s="139" t="s">
        <v>1092</v>
      </c>
      <c r="D658" s="140"/>
      <c r="E658" s="11" t="s">
        <v>102</v>
      </c>
      <c r="F658" s="12">
        <v>75</v>
      </c>
      <c r="G658" s="12">
        <v>0.12</v>
      </c>
      <c r="H658" s="12">
        <v>0.15</v>
      </c>
      <c r="I658" s="13">
        <f t="shared" si="56"/>
        <v>9</v>
      </c>
      <c r="J658" s="13">
        <f t="shared" si="57"/>
        <v>11.25</v>
      </c>
    </row>
    <row r="659" spans="1:10" s="1" customFormat="1" ht="25.5" customHeight="1" x14ac:dyDescent="0.2">
      <c r="A659" s="11" t="s">
        <v>308</v>
      </c>
      <c r="B659" s="34">
        <v>40716</v>
      </c>
      <c r="C659" s="139" t="s">
        <v>1093</v>
      </c>
      <c r="D659" s="140"/>
      <c r="E659" s="11" t="s">
        <v>102</v>
      </c>
      <c r="F659" s="12">
        <v>100</v>
      </c>
      <c r="G659" s="12">
        <v>0.09</v>
      </c>
      <c r="H659" s="12">
        <v>0.11</v>
      </c>
      <c r="I659" s="13">
        <f t="shared" si="56"/>
        <v>9</v>
      </c>
      <c r="J659" s="13">
        <f t="shared" si="57"/>
        <v>11</v>
      </c>
    </row>
    <row r="660" spans="1:10" s="1" customFormat="1" ht="25.5" customHeight="1" x14ac:dyDescent="0.2">
      <c r="A660" s="8"/>
      <c r="B660" s="9" t="s">
        <v>1094</v>
      </c>
      <c r="C660" s="137" t="s">
        <v>1095</v>
      </c>
      <c r="D660" s="152"/>
      <c r="E660" s="152"/>
      <c r="F660" s="152"/>
      <c r="G660" s="152"/>
      <c r="H660" s="152"/>
      <c r="I660" s="138"/>
      <c r="J660" s="8"/>
    </row>
    <row r="661" spans="1:10" s="1" customFormat="1" ht="25.5" customHeight="1" x14ac:dyDescent="0.2">
      <c r="A661" s="11" t="s">
        <v>78</v>
      </c>
      <c r="B661" s="21">
        <v>44743</v>
      </c>
      <c r="C661" s="139" t="s">
        <v>1096</v>
      </c>
      <c r="D661" s="140"/>
      <c r="E661" s="11" t="s">
        <v>102</v>
      </c>
      <c r="F661" s="12">
        <v>12</v>
      </c>
      <c r="G661" s="12">
        <v>79.47</v>
      </c>
      <c r="H661" s="12">
        <v>101.4</v>
      </c>
      <c r="I661" s="13">
        <f t="shared" ref="I661:I675" si="58">F661*G661</f>
        <v>953.64</v>
      </c>
      <c r="J661" s="13">
        <f t="shared" ref="J661:J675" si="59">F661*H661</f>
        <v>1216.8000000000002</v>
      </c>
    </row>
    <row r="662" spans="1:10" s="1" customFormat="1" ht="25.5" customHeight="1" x14ac:dyDescent="0.2">
      <c r="A662" s="11" t="s">
        <v>308</v>
      </c>
      <c r="B662" s="21">
        <v>44744</v>
      </c>
      <c r="C662" s="139" t="s">
        <v>1097</v>
      </c>
      <c r="D662" s="140"/>
      <c r="E662" s="11" t="s">
        <v>102</v>
      </c>
      <c r="F662" s="12">
        <v>6</v>
      </c>
      <c r="G662" s="12">
        <v>20.45</v>
      </c>
      <c r="H662" s="12">
        <v>26.09</v>
      </c>
      <c r="I662" s="13">
        <f t="shared" si="58"/>
        <v>122.69999999999999</v>
      </c>
      <c r="J662" s="13">
        <f t="shared" si="59"/>
        <v>156.54</v>
      </c>
    </row>
    <row r="663" spans="1:10" s="1" customFormat="1" ht="25.5" customHeight="1" x14ac:dyDescent="0.2">
      <c r="A663" s="11" t="s">
        <v>308</v>
      </c>
      <c r="B663" s="21">
        <v>44745</v>
      </c>
      <c r="C663" s="139" t="s">
        <v>1098</v>
      </c>
      <c r="D663" s="140"/>
      <c r="E663" s="11" t="s">
        <v>102</v>
      </c>
      <c r="F663" s="12">
        <v>1</v>
      </c>
      <c r="G663" s="12">
        <v>33.450000000000003</v>
      </c>
      <c r="H663" s="12">
        <v>42.68</v>
      </c>
      <c r="I663" s="13">
        <f t="shared" si="58"/>
        <v>33.450000000000003</v>
      </c>
      <c r="J663" s="13">
        <f t="shared" si="59"/>
        <v>42.68</v>
      </c>
    </row>
    <row r="664" spans="1:10" s="1" customFormat="1" ht="25.5" customHeight="1" x14ac:dyDescent="0.2">
      <c r="A664" s="11" t="s">
        <v>308</v>
      </c>
      <c r="B664" s="21">
        <v>44746</v>
      </c>
      <c r="C664" s="139" t="s">
        <v>1099</v>
      </c>
      <c r="D664" s="140"/>
      <c r="E664" s="11" t="s">
        <v>102</v>
      </c>
      <c r="F664" s="12">
        <v>2</v>
      </c>
      <c r="G664" s="12">
        <v>23.95</v>
      </c>
      <c r="H664" s="12">
        <v>30.56</v>
      </c>
      <c r="I664" s="13">
        <f t="shared" si="58"/>
        <v>47.9</v>
      </c>
      <c r="J664" s="13">
        <f t="shared" si="59"/>
        <v>61.12</v>
      </c>
    </row>
    <row r="665" spans="1:10" s="1" customFormat="1" ht="25.5" customHeight="1" x14ac:dyDescent="0.2">
      <c r="A665" s="11" t="s">
        <v>308</v>
      </c>
      <c r="B665" s="21">
        <v>44747</v>
      </c>
      <c r="C665" s="139" t="s">
        <v>1100</v>
      </c>
      <c r="D665" s="140"/>
      <c r="E665" s="11" t="s">
        <v>102</v>
      </c>
      <c r="F665" s="12">
        <v>15</v>
      </c>
      <c r="G665" s="12">
        <v>8.93</v>
      </c>
      <c r="H665" s="12">
        <v>11.39</v>
      </c>
      <c r="I665" s="13">
        <f t="shared" si="58"/>
        <v>133.94999999999999</v>
      </c>
      <c r="J665" s="13">
        <f t="shared" si="59"/>
        <v>170.85000000000002</v>
      </c>
    </row>
    <row r="666" spans="1:10" s="1" customFormat="1" ht="25.5" customHeight="1" x14ac:dyDescent="0.2">
      <c r="A666" s="11" t="s">
        <v>308</v>
      </c>
      <c r="B666" s="21">
        <v>44748</v>
      </c>
      <c r="C666" s="139" t="s">
        <v>1101</v>
      </c>
      <c r="D666" s="140"/>
      <c r="E666" s="11" t="s">
        <v>102</v>
      </c>
      <c r="F666" s="12">
        <v>4</v>
      </c>
      <c r="G666" s="12">
        <v>8.1300000000000008</v>
      </c>
      <c r="H666" s="12">
        <v>10.37</v>
      </c>
      <c r="I666" s="13">
        <f t="shared" si="58"/>
        <v>32.520000000000003</v>
      </c>
      <c r="J666" s="13">
        <f t="shared" si="59"/>
        <v>41.48</v>
      </c>
    </row>
    <row r="667" spans="1:10" s="1" customFormat="1" ht="25.5" customHeight="1" x14ac:dyDescent="0.2">
      <c r="A667" s="10">
        <v>89563</v>
      </c>
      <c r="B667" s="21">
        <v>44749</v>
      </c>
      <c r="C667" s="139" t="s">
        <v>1102</v>
      </c>
      <c r="D667" s="140"/>
      <c r="E667" s="11" t="s">
        <v>102</v>
      </c>
      <c r="F667" s="12">
        <v>40</v>
      </c>
      <c r="G667" s="12">
        <v>14.21</v>
      </c>
      <c r="H667" s="12">
        <v>18.13</v>
      </c>
      <c r="I667" s="13">
        <f t="shared" si="58"/>
        <v>568.40000000000009</v>
      </c>
      <c r="J667" s="13">
        <f t="shared" si="59"/>
        <v>725.19999999999993</v>
      </c>
    </row>
    <row r="668" spans="1:10" s="1" customFormat="1" ht="25.5" customHeight="1" x14ac:dyDescent="0.2">
      <c r="A668" s="11" t="s">
        <v>308</v>
      </c>
      <c r="B668" s="21">
        <v>44750</v>
      </c>
      <c r="C668" s="139" t="s">
        <v>1103</v>
      </c>
      <c r="D668" s="140"/>
      <c r="E668" s="11" t="s">
        <v>102</v>
      </c>
      <c r="F668" s="12">
        <v>20</v>
      </c>
      <c r="G668" s="12">
        <v>33.74</v>
      </c>
      <c r="H668" s="12">
        <v>43.05</v>
      </c>
      <c r="I668" s="13">
        <f t="shared" si="58"/>
        <v>674.80000000000007</v>
      </c>
      <c r="J668" s="13">
        <f t="shared" si="59"/>
        <v>861</v>
      </c>
    </row>
    <row r="669" spans="1:10" s="1" customFormat="1" ht="25.5" customHeight="1" x14ac:dyDescent="0.2">
      <c r="A669" s="11" t="s">
        <v>308</v>
      </c>
      <c r="B669" s="21">
        <v>44751</v>
      </c>
      <c r="C669" s="139" t="s">
        <v>1104</v>
      </c>
      <c r="D669" s="140"/>
      <c r="E669" s="11" t="s">
        <v>102</v>
      </c>
      <c r="F669" s="12">
        <v>25</v>
      </c>
      <c r="G669" s="12">
        <v>0.17</v>
      </c>
      <c r="H669" s="12">
        <v>0.22</v>
      </c>
      <c r="I669" s="13">
        <f t="shared" si="58"/>
        <v>4.25</v>
      </c>
      <c r="J669" s="13">
        <f t="shared" si="59"/>
        <v>5.5</v>
      </c>
    </row>
    <row r="670" spans="1:10" s="1" customFormat="1" ht="25.5" customHeight="1" x14ac:dyDescent="0.2">
      <c r="A670" s="11" t="s">
        <v>308</v>
      </c>
      <c r="B670" s="34">
        <v>40381</v>
      </c>
      <c r="C670" s="139" t="s">
        <v>1105</v>
      </c>
      <c r="D670" s="140"/>
      <c r="E670" s="11" t="s">
        <v>102</v>
      </c>
      <c r="F670" s="12">
        <v>160</v>
      </c>
      <c r="G670" s="12">
        <v>0.19</v>
      </c>
      <c r="H670" s="12">
        <v>0.24</v>
      </c>
      <c r="I670" s="13">
        <f t="shared" si="58"/>
        <v>30.4</v>
      </c>
      <c r="J670" s="13">
        <f t="shared" si="59"/>
        <v>38.4</v>
      </c>
    </row>
    <row r="671" spans="1:10" s="1" customFormat="1" ht="25.5" customHeight="1" x14ac:dyDescent="0.2">
      <c r="A671" s="11" t="s">
        <v>308</v>
      </c>
      <c r="B671" s="34">
        <v>40746</v>
      </c>
      <c r="C671" s="139" t="s">
        <v>1106</v>
      </c>
      <c r="D671" s="140"/>
      <c r="E671" s="11" t="s">
        <v>102</v>
      </c>
      <c r="F671" s="12">
        <v>3</v>
      </c>
      <c r="G671" s="12">
        <v>1.69</v>
      </c>
      <c r="H671" s="12">
        <v>2.16</v>
      </c>
      <c r="I671" s="13">
        <f t="shared" si="58"/>
        <v>5.07</v>
      </c>
      <c r="J671" s="13">
        <f t="shared" si="59"/>
        <v>6.48</v>
      </c>
    </row>
    <row r="672" spans="1:10" s="1" customFormat="1" ht="25.5" customHeight="1" x14ac:dyDescent="0.2">
      <c r="A672" s="11" t="s">
        <v>308</v>
      </c>
      <c r="B672" s="34">
        <v>41112</v>
      </c>
      <c r="C672" s="139" t="s">
        <v>1107</v>
      </c>
      <c r="D672" s="140"/>
      <c r="E672" s="11" t="s">
        <v>102</v>
      </c>
      <c r="F672" s="12">
        <v>25</v>
      </c>
      <c r="G672" s="12">
        <v>1.54</v>
      </c>
      <c r="H672" s="12">
        <v>1.96</v>
      </c>
      <c r="I672" s="13">
        <f t="shared" si="58"/>
        <v>38.5</v>
      </c>
      <c r="J672" s="13">
        <f t="shared" si="59"/>
        <v>49</v>
      </c>
    </row>
    <row r="673" spans="1:10" s="1" customFormat="1" ht="25.5" customHeight="1" x14ac:dyDescent="0.2">
      <c r="A673" s="11" t="s">
        <v>308</v>
      </c>
      <c r="B673" s="34">
        <v>41477</v>
      </c>
      <c r="C673" s="139" t="s">
        <v>1108</v>
      </c>
      <c r="D673" s="140"/>
      <c r="E673" s="11" t="s">
        <v>102</v>
      </c>
      <c r="F673" s="12">
        <v>3</v>
      </c>
      <c r="G673" s="12">
        <v>12.98</v>
      </c>
      <c r="H673" s="12">
        <v>16.559999999999999</v>
      </c>
      <c r="I673" s="13">
        <f t="shared" si="58"/>
        <v>38.94</v>
      </c>
      <c r="J673" s="13">
        <f t="shared" si="59"/>
        <v>49.679999999999993</v>
      </c>
    </row>
    <row r="674" spans="1:10" s="1" customFormat="1" ht="25.5" customHeight="1" x14ac:dyDescent="0.2">
      <c r="A674" s="11" t="s">
        <v>308</v>
      </c>
      <c r="B674" s="34">
        <v>41842</v>
      </c>
      <c r="C674" s="139" t="s">
        <v>1109</v>
      </c>
      <c r="D674" s="140"/>
      <c r="E674" s="11" t="s">
        <v>102</v>
      </c>
      <c r="F674" s="12">
        <v>300</v>
      </c>
      <c r="G674" s="12">
        <v>0.09</v>
      </c>
      <c r="H674" s="12">
        <v>0.11</v>
      </c>
      <c r="I674" s="13">
        <f t="shared" si="58"/>
        <v>27</v>
      </c>
      <c r="J674" s="13">
        <f t="shared" si="59"/>
        <v>33</v>
      </c>
    </row>
    <row r="675" spans="1:10" s="1" customFormat="1" ht="25.5" customHeight="1" x14ac:dyDescent="0.2">
      <c r="A675" s="11" t="s">
        <v>308</v>
      </c>
      <c r="B675" s="34">
        <v>42207</v>
      </c>
      <c r="C675" s="139" t="s">
        <v>1110</v>
      </c>
      <c r="D675" s="140"/>
      <c r="E675" s="11" t="s">
        <v>102</v>
      </c>
      <c r="F675" s="12">
        <v>15</v>
      </c>
      <c r="G675" s="12">
        <v>12.18</v>
      </c>
      <c r="H675" s="12">
        <v>15.54</v>
      </c>
      <c r="I675" s="13">
        <f t="shared" si="58"/>
        <v>182.7</v>
      </c>
      <c r="J675" s="13">
        <f t="shared" si="59"/>
        <v>233.1</v>
      </c>
    </row>
    <row r="676" spans="1:10" s="1" customFormat="1" ht="25.5" customHeight="1" x14ac:dyDescent="0.2">
      <c r="A676" s="8"/>
      <c r="B676" s="11" t="s">
        <v>1111</v>
      </c>
      <c r="C676" s="137" t="s">
        <v>1112</v>
      </c>
      <c r="D676" s="138"/>
      <c r="E676" s="8"/>
      <c r="F676" s="8"/>
      <c r="G676" s="8"/>
      <c r="H676" s="8"/>
      <c r="I676" s="8"/>
      <c r="J676" s="8"/>
    </row>
    <row r="677" spans="1:10" s="1" customFormat="1" ht="25.5" customHeight="1" x14ac:dyDescent="0.2">
      <c r="A677" s="11" t="s">
        <v>308</v>
      </c>
      <c r="B677" s="21">
        <v>44774</v>
      </c>
      <c r="C677" s="139" t="s">
        <v>1113</v>
      </c>
      <c r="D677" s="140"/>
      <c r="E677" s="11" t="s">
        <v>102</v>
      </c>
      <c r="F677" s="12">
        <v>10</v>
      </c>
      <c r="G677" s="12">
        <v>26.9</v>
      </c>
      <c r="H677" s="12">
        <v>34.32</v>
      </c>
      <c r="I677" s="13">
        <f t="shared" ref="I677:I683" si="60">F677*G677</f>
        <v>269</v>
      </c>
      <c r="J677" s="13">
        <f t="shared" ref="J677:J683" si="61">F677*H677</f>
        <v>343.2</v>
      </c>
    </row>
    <row r="678" spans="1:10" s="1" customFormat="1" ht="25.5" customHeight="1" x14ac:dyDescent="0.2">
      <c r="A678" s="11" t="s">
        <v>308</v>
      </c>
      <c r="B678" s="21">
        <v>44775</v>
      </c>
      <c r="C678" s="139" t="s">
        <v>1114</v>
      </c>
      <c r="D678" s="140"/>
      <c r="E678" s="11" t="s">
        <v>102</v>
      </c>
      <c r="F678" s="12">
        <v>10</v>
      </c>
      <c r="G678" s="12">
        <v>15.67</v>
      </c>
      <c r="H678" s="12">
        <v>19.989999999999998</v>
      </c>
      <c r="I678" s="13">
        <f t="shared" si="60"/>
        <v>156.69999999999999</v>
      </c>
      <c r="J678" s="13">
        <f t="shared" si="61"/>
        <v>199.89999999999998</v>
      </c>
    </row>
    <row r="679" spans="1:10" s="1" customFormat="1" ht="25.5" customHeight="1" x14ac:dyDescent="0.2">
      <c r="A679" s="11" t="s">
        <v>308</v>
      </c>
      <c r="B679" s="21">
        <v>44776</v>
      </c>
      <c r="C679" s="139" t="s">
        <v>1115</v>
      </c>
      <c r="D679" s="140"/>
      <c r="E679" s="11" t="s">
        <v>102</v>
      </c>
      <c r="F679" s="12">
        <v>20</v>
      </c>
      <c r="G679" s="12">
        <v>5.57</v>
      </c>
      <c r="H679" s="12">
        <v>7.11</v>
      </c>
      <c r="I679" s="13">
        <f t="shared" si="60"/>
        <v>111.4</v>
      </c>
      <c r="J679" s="13">
        <f t="shared" si="61"/>
        <v>142.20000000000002</v>
      </c>
    </row>
    <row r="680" spans="1:10" s="1" customFormat="1" ht="25.5" customHeight="1" x14ac:dyDescent="0.2">
      <c r="A680" s="11" t="s">
        <v>308</v>
      </c>
      <c r="B680" s="21">
        <v>44777</v>
      </c>
      <c r="C680" s="139" t="s">
        <v>1116</v>
      </c>
      <c r="D680" s="140"/>
      <c r="E680" s="11" t="s">
        <v>102</v>
      </c>
      <c r="F680" s="12">
        <v>2</v>
      </c>
      <c r="G680" s="12">
        <v>7.1</v>
      </c>
      <c r="H680" s="12">
        <v>9.06</v>
      </c>
      <c r="I680" s="13">
        <f t="shared" si="60"/>
        <v>14.2</v>
      </c>
      <c r="J680" s="13">
        <f t="shared" si="61"/>
        <v>18.12</v>
      </c>
    </row>
    <row r="681" spans="1:10" s="1" customFormat="1" ht="25.5" customHeight="1" x14ac:dyDescent="0.2">
      <c r="A681" s="11" t="s">
        <v>308</v>
      </c>
      <c r="B681" s="21">
        <v>44778</v>
      </c>
      <c r="C681" s="139" t="s">
        <v>1117</v>
      </c>
      <c r="D681" s="140"/>
      <c r="E681" s="11" t="s">
        <v>102</v>
      </c>
      <c r="F681" s="12">
        <v>40</v>
      </c>
      <c r="G681" s="12">
        <v>1.72</v>
      </c>
      <c r="H681" s="12">
        <v>2.19</v>
      </c>
      <c r="I681" s="13">
        <f t="shared" si="60"/>
        <v>68.8</v>
      </c>
      <c r="J681" s="13">
        <f t="shared" si="61"/>
        <v>87.6</v>
      </c>
    </row>
    <row r="682" spans="1:10" s="1" customFormat="1" ht="25.5" customHeight="1" x14ac:dyDescent="0.2">
      <c r="A682" s="11" t="s">
        <v>308</v>
      </c>
      <c r="B682" s="21">
        <v>44779</v>
      </c>
      <c r="C682" s="139" t="s">
        <v>1118</v>
      </c>
      <c r="D682" s="140"/>
      <c r="E682" s="11" t="s">
        <v>102</v>
      </c>
      <c r="F682" s="12">
        <v>4</v>
      </c>
      <c r="G682" s="12">
        <v>2.33</v>
      </c>
      <c r="H682" s="12">
        <v>2.97</v>
      </c>
      <c r="I682" s="13">
        <f t="shared" si="60"/>
        <v>9.32</v>
      </c>
      <c r="J682" s="13">
        <f t="shared" si="61"/>
        <v>11.88</v>
      </c>
    </row>
    <row r="683" spans="1:10" s="1" customFormat="1" ht="25.5" customHeight="1" x14ac:dyDescent="0.2">
      <c r="A683" s="11" t="s">
        <v>308</v>
      </c>
      <c r="B683" s="21">
        <v>44780</v>
      </c>
      <c r="C683" s="139" t="s">
        <v>1119</v>
      </c>
      <c r="D683" s="140"/>
      <c r="E683" s="11" t="s">
        <v>102</v>
      </c>
      <c r="F683" s="12">
        <v>7</v>
      </c>
      <c r="G683" s="12">
        <v>4.74</v>
      </c>
      <c r="H683" s="12">
        <v>6.05</v>
      </c>
      <c r="I683" s="13">
        <f t="shared" si="60"/>
        <v>33.18</v>
      </c>
      <c r="J683" s="13">
        <f t="shared" si="61"/>
        <v>42.35</v>
      </c>
    </row>
    <row r="684" spans="1:10" s="1" customFormat="1" ht="25.5" customHeight="1" x14ac:dyDescent="0.2">
      <c r="A684" s="8"/>
      <c r="B684" s="11" t="s">
        <v>1120</v>
      </c>
      <c r="C684" s="137" t="s">
        <v>1121</v>
      </c>
      <c r="D684" s="138"/>
      <c r="E684" s="8"/>
      <c r="F684" s="8"/>
      <c r="G684" s="8"/>
      <c r="H684" s="8"/>
      <c r="I684" s="8"/>
      <c r="J684" s="8"/>
    </row>
    <row r="685" spans="1:10" s="1" customFormat="1" ht="25.5" customHeight="1" x14ac:dyDescent="0.2">
      <c r="A685" s="11" t="s">
        <v>308</v>
      </c>
      <c r="B685" s="21">
        <v>44805</v>
      </c>
      <c r="C685" s="139" t="s">
        <v>1122</v>
      </c>
      <c r="D685" s="140"/>
      <c r="E685" s="11" t="s">
        <v>102</v>
      </c>
      <c r="F685" s="12">
        <v>41</v>
      </c>
      <c r="G685" s="12">
        <v>11.01</v>
      </c>
      <c r="H685" s="12">
        <v>14.05</v>
      </c>
      <c r="I685" s="13">
        <f>F685*G685</f>
        <v>451.40999999999997</v>
      </c>
      <c r="J685" s="13">
        <f>F685*H685</f>
        <v>576.05000000000007</v>
      </c>
    </row>
    <row r="686" spans="1:10" s="1" customFormat="1" ht="25.5" customHeight="1" x14ac:dyDescent="0.2">
      <c r="A686" s="8"/>
      <c r="B686" s="149" t="s">
        <v>1123</v>
      </c>
      <c r="C686" s="150"/>
      <c r="D686" s="150"/>
      <c r="E686" s="150"/>
      <c r="F686" s="150"/>
      <c r="G686" s="151"/>
      <c r="H686" s="8"/>
      <c r="I686" s="14">
        <f>SUM(I661:I685,I616:I659)+0.05</f>
        <v>17207.759999999995</v>
      </c>
      <c r="J686" s="15">
        <f>SUM(J661:J685,J616:J659)-0.06</f>
        <v>21950.38</v>
      </c>
    </row>
    <row r="687" spans="1:10" s="1" customFormat="1" ht="25.5" customHeight="1" x14ac:dyDescent="0.2">
      <c r="A687" s="8"/>
      <c r="B687" s="9" t="s">
        <v>1124</v>
      </c>
      <c r="C687" s="137" t="s">
        <v>1125</v>
      </c>
      <c r="D687" s="138"/>
      <c r="E687" s="8"/>
      <c r="F687" s="8"/>
      <c r="G687" s="8"/>
      <c r="H687" s="8"/>
      <c r="I687" s="8"/>
      <c r="J687" s="8"/>
    </row>
    <row r="688" spans="1:10" s="1" customFormat="1" ht="25.5" customHeight="1" x14ac:dyDescent="0.2">
      <c r="A688" s="8"/>
      <c r="B688" s="9" t="s">
        <v>1126</v>
      </c>
      <c r="C688" s="137" t="s">
        <v>684</v>
      </c>
      <c r="D688" s="138"/>
      <c r="E688" s="8"/>
      <c r="F688" s="8"/>
      <c r="G688" s="8"/>
      <c r="H688" s="8"/>
      <c r="I688" s="8"/>
      <c r="J688" s="8"/>
    </row>
    <row r="689" spans="1:10" s="1" customFormat="1" ht="25.5" customHeight="1" x14ac:dyDescent="0.2">
      <c r="A689" s="11" t="s">
        <v>308</v>
      </c>
      <c r="B689" s="21">
        <v>44927</v>
      </c>
      <c r="C689" s="139" t="s">
        <v>1127</v>
      </c>
      <c r="D689" s="140"/>
      <c r="E689" s="11" t="s">
        <v>102</v>
      </c>
      <c r="F689" s="12">
        <v>1</v>
      </c>
      <c r="G689" s="12">
        <v>419.11</v>
      </c>
      <c r="H689" s="12">
        <v>534.74</v>
      </c>
      <c r="I689" s="13">
        <f>F689*G689</f>
        <v>419.11</v>
      </c>
      <c r="J689" s="13">
        <f>F689*H689</f>
        <v>534.74</v>
      </c>
    </row>
    <row r="690" spans="1:10" s="1" customFormat="1" ht="25.5" customHeight="1" x14ac:dyDescent="0.2">
      <c r="A690" s="11" t="s">
        <v>308</v>
      </c>
      <c r="B690" s="21">
        <v>44928</v>
      </c>
      <c r="C690" s="139" t="s">
        <v>1128</v>
      </c>
      <c r="D690" s="140"/>
      <c r="E690" s="11" t="s">
        <v>102</v>
      </c>
      <c r="F690" s="12">
        <v>1</v>
      </c>
      <c r="G690" s="12">
        <v>385</v>
      </c>
      <c r="H690" s="12">
        <v>491.22</v>
      </c>
      <c r="I690" s="13">
        <f>F690*G690</f>
        <v>385</v>
      </c>
      <c r="J690" s="13">
        <f>F690*H690</f>
        <v>491.22</v>
      </c>
    </row>
    <row r="691" spans="1:10" s="1" customFormat="1" ht="25.5" customHeight="1" x14ac:dyDescent="0.2">
      <c r="A691" s="11" t="s">
        <v>308</v>
      </c>
      <c r="B691" s="21">
        <v>44929</v>
      </c>
      <c r="C691" s="139" t="s">
        <v>1129</v>
      </c>
      <c r="D691" s="140"/>
      <c r="E691" s="11" t="s">
        <v>102</v>
      </c>
      <c r="F691" s="12">
        <v>1</v>
      </c>
      <c r="G691" s="12">
        <v>250</v>
      </c>
      <c r="H691" s="12">
        <v>318.98</v>
      </c>
      <c r="I691" s="13">
        <f>F691*G691</f>
        <v>250</v>
      </c>
      <c r="J691" s="13">
        <f>F691*H691</f>
        <v>318.98</v>
      </c>
    </row>
    <row r="692" spans="1:10" s="1" customFormat="1" ht="25.5" customHeight="1" x14ac:dyDescent="0.2">
      <c r="A692" s="8"/>
      <c r="B692" s="149" t="s">
        <v>1130</v>
      </c>
      <c r="C692" s="150"/>
      <c r="D692" s="150"/>
      <c r="E692" s="150"/>
      <c r="F692" s="150"/>
      <c r="G692" s="151"/>
      <c r="H692" s="8"/>
      <c r="I692" s="18">
        <f>SUM(I689:I691)</f>
        <v>1054.1100000000001</v>
      </c>
      <c r="J692" s="18">
        <f>SUM(J689:J691)</f>
        <v>1344.94</v>
      </c>
    </row>
    <row r="693" spans="1:10" s="1" customFormat="1" ht="25.5" customHeight="1" x14ac:dyDescent="0.2">
      <c r="A693" s="8"/>
      <c r="B693" s="9" t="s">
        <v>1131</v>
      </c>
      <c r="C693" s="137" t="s">
        <v>1132</v>
      </c>
      <c r="D693" s="138"/>
      <c r="E693" s="8"/>
      <c r="F693" s="8"/>
      <c r="G693" s="8"/>
      <c r="H693" s="8"/>
      <c r="I693" s="8"/>
      <c r="J693" s="8"/>
    </row>
    <row r="694" spans="1:10" s="1" customFormat="1" ht="25.5" customHeight="1" x14ac:dyDescent="0.2">
      <c r="A694" s="8"/>
      <c r="B694" s="23">
        <v>44958</v>
      </c>
      <c r="C694" s="137" t="s">
        <v>1133</v>
      </c>
      <c r="D694" s="138"/>
      <c r="E694" s="8"/>
      <c r="F694" s="8"/>
      <c r="G694" s="8"/>
      <c r="H694" s="8"/>
      <c r="I694" s="8"/>
      <c r="J694" s="8"/>
    </row>
    <row r="695" spans="1:10" s="1" customFormat="1" ht="25.5" customHeight="1" x14ac:dyDescent="0.2">
      <c r="A695" s="11" t="s">
        <v>308</v>
      </c>
      <c r="B695" s="11" t="s">
        <v>1134</v>
      </c>
      <c r="C695" s="139" t="s">
        <v>1175</v>
      </c>
      <c r="D695" s="140"/>
      <c r="E695" s="11" t="s">
        <v>35</v>
      </c>
      <c r="F695" s="12">
        <v>8</v>
      </c>
      <c r="G695" s="12">
        <v>15.25</v>
      </c>
      <c r="H695" s="12">
        <v>19.46</v>
      </c>
      <c r="I695" s="13">
        <f t="shared" ref="I695:I700" si="62">F695*G695</f>
        <v>122</v>
      </c>
      <c r="J695" s="13">
        <f t="shared" ref="J695:J700" si="63">F695*H695</f>
        <v>155.68</v>
      </c>
    </row>
    <row r="696" spans="1:10" s="1" customFormat="1" ht="25.5" customHeight="1" x14ac:dyDescent="0.2">
      <c r="A696" s="11" t="s">
        <v>308</v>
      </c>
      <c r="B696" s="11" t="s">
        <v>1135</v>
      </c>
      <c r="C696" s="139" t="s">
        <v>1176</v>
      </c>
      <c r="D696" s="140"/>
      <c r="E696" s="11" t="s">
        <v>35</v>
      </c>
      <c r="F696" s="12">
        <v>16</v>
      </c>
      <c r="G696" s="12">
        <v>21.01</v>
      </c>
      <c r="H696" s="12">
        <v>26.81</v>
      </c>
      <c r="I696" s="13">
        <f t="shared" si="62"/>
        <v>336.16</v>
      </c>
      <c r="J696" s="13">
        <f t="shared" si="63"/>
        <v>428.96</v>
      </c>
    </row>
    <row r="697" spans="1:10" s="1" customFormat="1" ht="25.5" customHeight="1" x14ac:dyDescent="0.2">
      <c r="A697" s="11" t="s">
        <v>308</v>
      </c>
      <c r="B697" s="11" t="s">
        <v>1136</v>
      </c>
      <c r="C697" s="139" t="s">
        <v>1137</v>
      </c>
      <c r="D697" s="140"/>
      <c r="E697" s="11" t="s">
        <v>102</v>
      </c>
      <c r="F697" s="12">
        <v>1</v>
      </c>
      <c r="G697" s="12">
        <v>64.55</v>
      </c>
      <c r="H697" s="12">
        <v>82.36</v>
      </c>
      <c r="I697" s="13">
        <f t="shared" si="62"/>
        <v>64.55</v>
      </c>
      <c r="J697" s="13">
        <f t="shared" si="63"/>
        <v>82.36</v>
      </c>
    </row>
    <row r="698" spans="1:10" s="1" customFormat="1" ht="25.5" customHeight="1" x14ac:dyDescent="0.2">
      <c r="A698" s="11" t="s">
        <v>308</v>
      </c>
      <c r="B698" s="11" t="s">
        <v>1138</v>
      </c>
      <c r="C698" s="139" t="s">
        <v>1139</v>
      </c>
      <c r="D698" s="140"/>
      <c r="E698" s="11" t="s">
        <v>102</v>
      </c>
      <c r="F698" s="12">
        <v>2</v>
      </c>
      <c r="G698" s="12">
        <v>46.92</v>
      </c>
      <c r="H698" s="12">
        <v>59.87</v>
      </c>
      <c r="I698" s="13">
        <f t="shared" si="62"/>
        <v>93.84</v>
      </c>
      <c r="J698" s="13">
        <f t="shared" si="63"/>
        <v>119.74</v>
      </c>
    </row>
    <row r="699" spans="1:10" s="1" customFormat="1" ht="25.5" customHeight="1" x14ac:dyDescent="0.2">
      <c r="A699" s="11" t="s">
        <v>308</v>
      </c>
      <c r="B699" s="11" t="s">
        <v>1140</v>
      </c>
      <c r="C699" s="139" t="s">
        <v>1141</v>
      </c>
      <c r="D699" s="140"/>
      <c r="E699" s="11" t="s">
        <v>102</v>
      </c>
      <c r="F699" s="12">
        <v>2</v>
      </c>
      <c r="G699" s="12">
        <v>63.34</v>
      </c>
      <c r="H699" s="12">
        <v>80.819999999999993</v>
      </c>
      <c r="I699" s="13">
        <f t="shared" si="62"/>
        <v>126.68</v>
      </c>
      <c r="J699" s="13">
        <f t="shared" si="63"/>
        <v>161.63999999999999</v>
      </c>
    </row>
    <row r="700" spans="1:10" s="1" customFormat="1" ht="25.5" customHeight="1" x14ac:dyDescent="0.2">
      <c r="A700" s="11" t="s">
        <v>308</v>
      </c>
      <c r="B700" s="11" t="s">
        <v>1142</v>
      </c>
      <c r="C700" s="139" t="s">
        <v>1143</v>
      </c>
      <c r="D700" s="140"/>
      <c r="E700" s="11" t="s">
        <v>102</v>
      </c>
      <c r="F700" s="12">
        <v>1</v>
      </c>
      <c r="G700" s="12">
        <v>112.15</v>
      </c>
      <c r="H700" s="12">
        <v>143.09</v>
      </c>
      <c r="I700" s="13">
        <f t="shared" si="62"/>
        <v>112.15</v>
      </c>
      <c r="J700" s="13">
        <f t="shared" si="63"/>
        <v>143.09</v>
      </c>
    </row>
    <row r="701" spans="1:10" s="1" customFormat="1" ht="25.5" customHeight="1" x14ac:dyDescent="0.2">
      <c r="A701" s="8"/>
      <c r="B701" s="23">
        <v>44959</v>
      </c>
      <c r="C701" s="137" t="s">
        <v>1144</v>
      </c>
      <c r="D701" s="138"/>
      <c r="E701" s="8"/>
      <c r="F701" s="8"/>
      <c r="G701" s="8"/>
      <c r="H701" s="8"/>
      <c r="I701" s="8"/>
      <c r="J701" s="12"/>
    </row>
    <row r="702" spans="1:10" s="1" customFormat="1" ht="25.5" customHeight="1" x14ac:dyDescent="0.2">
      <c r="A702" s="11" t="s">
        <v>308</v>
      </c>
      <c r="B702" s="11" t="s">
        <v>1145</v>
      </c>
      <c r="C702" s="139" t="s">
        <v>1146</v>
      </c>
      <c r="D702" s="140"/>
      <c r="E702" s="11" t="s">
        <v>102</v>
      </c>
      <c r="F702" s="12">
        <v>1</v>
      </c>
      <c r="G702" s="12">
        <v>649.99</v>
      </c>
      <c r="H702" s="12">
        <v>829.32</v>
      </c>
      <c r="I702" s="13">
        <f t="shared" ref="I702:I707" si="64">F702*G702</f>
        <v>649.99</v>
      </c>
      <c r="J702" s="13">
        <f t="shared" ref="J702:J707" si="65">F702*H702</f>
        <v>829.32</v>
      </c>
    </row>
    <row r="703" spans="1:10" s="1" customFormat="1" ht="25.5" customHeight="1" x14ac:dyDescent="0.2">
      <c r="A703" s="8"/>
      <c r="B703" s="23">
        <v>44960</v>
      </c>
      <c r="C703" s="137" t="s">
        <v>684</v>
      </c>
      <c r="D703" s="138"/>
      <c r="E703" s="8"/>
      <c r="F703" s="8"/>
      <c r="G703" s="8"/>
      <c r="H703" s="8"/>
      <c r="I703" s="13">
        <f t="shared" si="64"/>
        <v>0</v>
      </c>
      <c r="J703" s="13">
        <f t="shared" si="65"/>
        <v>0</v>
      </c>
    </row>
    <row r="704" spans="1:10" s="1" customFormat="1" ht="25.5" customHeight="1" x14ac:dyDescent="0.2">
      <c r="A704" s="11" t="s">
        <v>308</v>
      </c>
      <c r="B704" s="11" t="s">
        <v>1147</v>
      </c>
      <c r="C704" s="139" t="s">
        <v>1148</v>
      </c>
      <c r="D704" s="140"/>
      <c r="E704" s="11" t="s">
        <v>102</v>
      </c>
      <c r="F704" s="12">
        <v>3</v>
      </c>
      <c r="G704" s="12">
        <v>33.46</v>
      </c>
      <c r="H704" s="12">
        <v>42.69</v>
      </c>
      <c r="I704" s="13">
        <f t="shared" si="64"/>
        <v>100.38</v>
      </c>
      <c r="J704" s="13">
        <f t="shared" si="65"/>
        <v>128.07</v>
      </c>
    </row>
    <row r="705" spans="1:10" s="1" customFormat="1" ht="25.5" customHeight="1" x14ac:dyDescent="0.2">
      <c r="A705" s="11" t="s">
        <v>308</v>
      </c>
      <c r="B705" s="11" t="s">
        <v>1149</v>
      </c>
      <c r="C705" s="139" t="s">
        <v>1150</v>
      </c>
      <c r="D705" s="140"/>
      <c r="E705" s="11" t="s">
        <v>102</v>
      </c>
      <c r="F705" s="12">
        <v>3</v>
      </c>
      <c r="G705" s="12">
        <v>21.01</v>
      </c>
      <c r="H705" s="12">
        <v>26.81</v>
      </c>
      <c r="I705" s="13">
        <f t="shared" si="64"/>
        <v>63.03</v>
      </c>
      <c r="J705" s="13">
        <f t="shared" si="65"/>
        <v>80.429999999999993</v>
      </c>
    </row>
    <row r="706" spans="1:10" s="1" customFormat="1" ht="25.5" customHeight="1" x14ac:dyDescent="0.2">
      <c r="A706" s="11" t="s">
        <v>308</v>
      </c>
      <c r="B706" s="11" t="s">
        <v>1151</v>
      </c>
      <c r="C706" s="139" t="s">
        <v>1152</v>
      </c>
      <c r="D706" s="140"/>
      <c r="E706" s="11" t="s">
        <v>102</v>
      </c>
      <c r="F706" s="12">
        <v>2</v>
      </c>
      <c r="G706" s="12">
        <v>33.46</v>
      </c>
      <c r="H706" s="12">
        <v>42.69</v>
      </c>
      <c r="I706" s="13">
        <f t="shared" si="64"/>
        <v>66.92</v>
      </c>
      <c r="J706" s="13">
        <f t="shared" si="65"/>
        <v>85.38</v>
      </c>
    </row>
    <row r="707" spans="1:10" s="1" customFormat="1" ht="25.5" customHeight="1" x14ac:dyDescent="0.2">
      <c r="A707" s="11" t="s">
        <v>308</v>
      </c>
      <c r="B707" s="11" t="s">
        <v>1153</v>
      </c>
      <c r="C707" s="139" t="s">
        <v>1154</v>
      </c>
      <c r="D707" s="140"/>
      <c r="E707" s="11" t="s">
        <v>81</v>
      </c>
      <c r="F707" s="12">
        <v>3</v>
      </c>
      <c r="G707" s="12">
        <v>9.4</v>
      </c>
      <c r="H707" s="12">
        <v>11.99</v>
      </c>
      <c r="I707" s="13">
        <f t="shared" si="64"/>
        <v>28.200000000000003</v>
      </c>
      <c r="J707" s="13">
        <f t="shared" si="65"/>
        <v>35.97</v>
      </c>
    </row>
    <row r="708" spans="1:10" s="1" customFormat="1" ht="25.5" customHeight="1" x14ac:dyDescent="0.2">
      <c r="A708" s="8"/>
      <c r="B708" s="149" t="s">
        <v>1155</v>
      </c>
      <c r="C708" s="150"/>
      <c r="D708" s="150"/>
      <c r="E708" s="150"/>
      <c r="F708" s="150"/>
      <c r="G708" s="151"/>
      <c r="H708" s="8"/>
      <c r="I708" s="18">
        <f>SUM(I695:I707)</f>
        <v>1763.9</v>
      </c>
      <c r="J708" s="18">
        <f>SUM(J695:J707)</f>
        <v>2250.64</v>
      </c>
    </row>
    <row r="709" spans="1:10" s="1" customFormat="1" ht="25.5" customHeight="1" x14ac:dyDescent="0.2">
      <c r="A709" s="8"/>
      <c r="B709" s="149" t="s">
        <v>1156</v>
      </c>
      <c r="C709" s="150"/>
      <c r="D709" s="150"/>
      <c r="E709" s="150"/>
      <c r="F709" s="150"/>
      <c r="G709" s="151"/>
      <c r="H709" s="8"/>
      <c r="I709" s="14">
        <f>SUM(I692,I708)</f>
        <v>2818.01</v>
      </c>
      <c r="J709" s="15">
        <f>SUM(J692,J708)-0.08</f>
        <v>3595.5</v>
      </c>
    </row>
    <row r="710" spans="1:10" s="1" customFormat="1" ht="25.5" customHeight="1" x14ac:dyDescent="0.2">
      <c r="A710" s="8"/>
      <c r="B710" s="9" t="s">
        <v>1157</v>
      </c>
      <c r="C710" s="137" t="s">
        <v>1158</v>
      </c>
      <c r="D710" s="138"/>
      <c r="E710" s="8"/>
      <c r="F710" s="8"/>
      <c r="G710" s="8"/>
      <c r="H710" s="8"/>
      <c r="I710" s="8"/>
      <c r="J710" s="8"/>
    </row>
    <row r="711" spans="1:10" s="1" customFormat="1" ht="25.5" customHeight="1" x14ac:dyDescent="0.2">
      <c r="A711" s="8"/>
      <c r="B711" s="9" t="s">
        <v>1159</v>
      </c>
      <c r="C711" s="137" t="s">
        <v>1160</v>
      </c>
      <c r="D711" s="152"/>
      <c r="E711" s="152"/>
      <c r="F711" s="152"/>
      <c r="G711" s="152"/>
      <c r="H711" s="152"/>
      <c r="I711" s="138"/>
      <c r="J711" s="8"/>
    </row>
    <row r="712" spans="1:10" s="1" customFormat="1" ht="25.5" customHeight="1" x14ac:dyDescent="0.2">
      <c r="A712" s="8"/>
      <c r="B712" s="23">
        <v>45292</v>
      </c>
      <c r="C712" s="137" t="s">
        <v>626</v>
      </c>
      <c r="D712" s="152"/>
      <c r="E712" s="152"/>
      <c r="F712" s="152"/>
      <c r="G712" s="152"/>
      <c r="H712" s="152"/>
      <c r="I712" s="138"/>
      <c r="J712" s="8"/>
    </row>
    <row r="713" spans="1:10" s="1" customFormat="1" ht="25.5" customHeight="1" x14ac:dyDescent="0.2">
      <c r="A713" s="10">
        <v>92690</v>
      </c>
      <c r="B713" s="11" t="s">
        <v>1161</v>
      </c>
      <c r="C713" s="139" t="s">
        <v>1162</v>
      </c>
      <c r="D713" s="140"/>
      <c r="E713" s="11" t="s">
        <v>81</v>
      </c>
      <c r="F713" s="12">
        <v>18</v>
      </c>
      <c r="G713" s="12">
        <v>35.74</v>
      </c>
      <c r="H713" s="12">
        <v>45.6</v>
      </c>
      <c r="I713" s="13">
        <f>F713*G713</f>
        <v>643.32000000000005</v>
      </c>
      <c r="J713" s="13">
        <f>F713*H713</f>
        <v>820.80000000000007</v>
      </c>
    </row>
    <row r="714" spans="1:10" s="1" customFormat="1" ht="25.5" customHeight="1" x14ac:dyDescent="0.2">
      <c r="A714" s="10">
        <v>92689</v>
      </c>
      <c r="B714" s="11" t="s">
        <v>1163</v>
      </c>
      <c r="C714" s="139" t="s">
        <v>1164</v>
      </c>
      <c r="D714" s="140"/>
      <c r="E714" s="11" t="s">
        <v>81</v>
      </c>
      <c r="F714" s="12">
        <v>18</v>
      </c>
      <c r="G714" s="12">
        <v>24.41</v>
      </c>
      <c r="H714" s="12">
        <v>31.14</v>
      </c>
      <c r="I714" s="13">
        <f>F714*G714</f>
        <v>439.38</v>
      </c>
      <c r="J714" s="13">
        <f>F714*H714</f>
        <v>560.52</v>
      </c>
    </row>
    <row r="715" spans="1:10" s="1" customFormat="1" ht="25.5" customHeight="1" x14ac:dyDescent="0.2">
      <c r="A715" s="8"/>
      <c r="B715" s="23">
        <v>45293</v>
      </c>
      <c r="C715" s="137" t="s">
        <v>450</v>
      </c>
      <c r="D715" s="138"/>
      <c r="E715" s="8"/>
      <c r="F715" s="8"/>
      <c r="G715" s="8"/>
      <c r="H715" s="8"/>
      <c r="I715" s="8"/>
      <c r="J715" s="8"/>
    </row>
    <row r="716" spans="1:10" s="1" customFormat="1" ht="25.5" customHeight="1" x14ac:dyDescent="0.2">
      <c r="A716" s="11" t="s">
        <v>308</v>
      </c>
      <c r="B716" s="11" t="s">
        <v>1165</v>
      </c>
      <c r="C716" s="139" t="s">
        <v>1166</v>
      </c>
      <c r="D716" s="140"/>
      <c r="E716" s="11" t="s">
        <v>102</v>
      </c>
      <c r="F716" s="12">
        <v>2</v>
      </c>
      <c r="G716" s="12">
        <v>18.7</v>
      </c>
      <c r="H716" s="12">
        <v>23.86</v>
      </c>
      <c r="I716" s="13">
        <f>F716*G716</f>
        <v>37.4</v>
      </c>
      <c r="J716" s="13">
        <f>F716*H716</f>
        <v>47.72</v>
      </c>
    </row>
    <row r="717" spans="1:10" s="1" customFormat="1" ht="25.5" customHeight="1" x14ac:dyDescent="0.2">
      <c r="A717" s="8"/>
      <c r="B717" s="23">
        <v>45294</v>
      </c>
      <c r="C717" s="137" t="s">
        <v>750</v>
      </c>
      <c r="D717" s="138"/>
      <c r="E717" s="8"/>
      <c r="F717" s="8"/>
      <c r="G717" s="8"/>
      <c r="H717" s="8"/>
      <c r="I717" s="8"/>
      <c r="J717" s="8"/>
    </row>
    <row r="718" spans="1:10" s="1" customFormat="1" ht="25.5" customHeight="1" x14ac:dyDescent="0.2">
      <c r="A718" s="11" t="s">
        <v>308</v>
      </c>
      <c r="B718" s="11" t="s">
        <v>1167</v>
      </c>
      <c r="C718" s="139" t="s">
        <v>1168</v>
      </c>
      <c r="D718" s="140"/>
      <c r="E718" s="11" t="s">
        <v>102</v>
      </c>
      <c r="F718" s="12">
        <v>3</v>
      </c>
      <c r="G718" s="12">
        <v>14.45</v>
      </c>
      <c r="H718" s="12">
        <v>18.440000000000001</v>
      </c>
      <c r="I718" s="13">
        <f>F718*G718</f>
        <v>43.349999999999994</v>
      </c>
      <c r="J718" s="13">
        <f>F718*H718</f>
        <v>55.320000000000007</v>
      </c>
    </row>
    <row r="719" spans="1:10" s="1" customFormat="1" ht="25.5" customHeight="1" x14ac:dyDescent="0.2">
      <c r="A719" s="11" t="s">
        <v>308</v>
      </c>
      <c r="B719" s="11" t="s">
        <v>1169</v>
      </c>
      <c r="C719" s="139" t="s">
        <v>1170</v>
      </c>
      <c r="D719" s="140"/>
      <c r="E719" s="11" t="s">
        <v>102</v>
      </c>
      <c r="F719" s="12">
        <v>3</v>
      </c>
      <c r="G719" s="12">
        <v>11.87</v>
      </c>
      <c r="H719" s="12">
        <v>15.14</v>
      </c>
      <c r="I719" s="13">
        <f>F719*G719</f>
        <v>35.61</v>
      </c>
      <c r="J719" s="13">
        <f>F719*H719</f>
        <v>45.42</v>
      </c>
    </row>
    <row r="720" spans="1:10" s="1" customFormat="1" ht="25.5" customHeight="1" x14ac:dyDescent="0.2">
      <c r="A720" s="8"/>
      <c r="B720" s="23">
        <v>45295</v>
      </c>
      <c r="C720" s="137" t="s">
        <v>652</v>
      </c>
      <c r="D720" s="138"/>
      <c r="E720" s="8"/>
      <c r="F720" s="8"/>
      <c r="G720" s="8"/>
      <c r="H720" s="8"/>
      <c r="I720" s="8"/>
      <c r="J720" s="8"/>
    </row>
    <row r="721" spans="1:10" s="1" customFormat="1" ht="25.5" customHeight="1" x14ac:dyDescent="0.2">
      <c r="A721" s="11" t="s">
        <v>308</v>
      </c>
      <c r="B721" s="11" t="s">
        <v>1171</v>
      </c>
      <c r="C721" s="139" t="s">
        <v>1172</v>
      </c>
      <c r="D721" s="140"/>
      <c r="E721" s="11" t="s">
        <v>102</v>
      </c>
      <c r="F721" s="12">
        <v>8</v>
      </c>
      <c r="G721" s="12">
        <v>15.21</v>
      </c>
      <c r="H721" s="12">
        <v>19.41</v>
      </c>
      <c r="I721" s="13">
        <f>F721*G721</f>
        <v>121.68</v>
      </c>
      <c r="J721" s="13">
        <f>F721*H721</f>
        <v>155.28</v>
      </c>
    </row>
    <row r="722" spans="1:10" s="1" customFormat="1" ht="25.5" customHeight="1" x14ac:dyDescent="0.2">
      <c r="A722" s="11" t="s">
        <v>308</v>
      </c>
      <c r="B722" s="11" t="s">
        <v>1173</v>
      </c>
      <c r="C722" s="139" t="s">
        <v>1174</v>
      </c>
      <c r="D722" s="140"/>
      <c r="E722" s="11" t="s">
        <v>102</v>
      </c>
      <c r="F722" s="12">
        <v>2</v>
      </c>
      <c r="G722" s="12">
        <v>15.21</v>
      </c>
      <c r="H722" s="12">
        <v>19.41</v>
      </c>
      <c r="I722" s="13">
        <f>F722*G722</f>
        <v>30.42</v>
      </c>
      <c r="J722" s="13">
        <f>F722*H722</f>
        <v>38.82</v>
      </c>
    </row>
    <row r="723" spans="1:10" s="1" customFormat="1" ht="25.5" customHeight="1" x14ac:dyDescent="0.2">
      <c r="A723" s="8"/>
      <c r="B723" s="23">
        <v>45296</v>
      </c>
      <c r="C723" s="137" t="s">
        <v>1177</v>
      </c>
      <c r="D723" s="138"/>
      <c r="E723" s="8"/>
      <c r="F723" s="8"/>
      <c r="G723" s="8"/>
      <c r="H723" s="8"/>
      <c r="I723" s="8"/>
      <c r="J723" s="8"/>
    </row>
    <row r="724" spans="1:10" s="1" customFormat="1" ht="25.5" customHeight="1" x14ac:dyDescent="0.2">
      <c r="A724" s="22" t="s">
        <v>308</v>
      </c>
      <c r="B724" s="11" t="s">
        <v>1178</v>
      </c>
      <c r="C724" s="139" t="s">
        <v>1179</v>
      </c>
      <c r="D724" s="140"/>
      <c r="E724" s="11" t="s">
        <v>102</v>
      </c>
      <c r="F724" s="12">
        <v>2</v>
      </c>
      <c r="G724" s="12">
        <v>20.8</v>
      </c>
      <c r="H724" s="12">
        <v>26.54</v>
      </c>
      <c r="I724" s="13">
        <f>F724*G724</f>
        <v>41.6</v>
      </c>
      <c r="J724" s="13">
        <f>F724*H724</f>
        <v>53.08</v>
      </c>
    </row>
    <row r="725" spans="1:10" s="1" customFormat="1" ht="25.5" customHeight="1" x14ac:dyDescent="0.2">
      <c r="A725" s="8"/>
      <c r="B725" s="23">
        <v>45297</v>
      </c>
      <c r="C725" s="137" t="s">
        <v>473</v>
      </c>
      <c r="D725" s="138"/>
      <c r="E725" s="8"/>
      <c r="F725" s="8"/>
      <c r="G725" s="8"/>
      <c r="H725" s="8"/>
      <c r="I725" s="8"/>
      <c r="J725" s="8"/>
    </row>
    <row r="726" spans="1:10" s="1" customFormat="1" ht="25.5" customHeight="1" x14ac:dyDescent="0.2">
      <c r="A726" s="22" t="s">
        <v>308</v>
      </c>
      <c r="B726" s="11" t="s">
        <v>1180</v>
      </c>
      <c r="C726" s="139" t="s">
        <v>1181</v>
      </c>
      <c r="D726" s="140"/>
      <c r="E726" s="11" t="s">
        <v>102</v>
      </c>
      <c r="F726" s="12">
        <v>3</v>
      </c>
      <c r="G726" s="12">
        <v>79</v>
      </c>
      <c r="H726" s="12">
        <v>100.8</v>
      </c>
      <c r="I726" s="13">
        <f>F726*G726</f>
        <v>237</v>
      </c>
      <c r="J726" s="13">
        <f>F726*H726</f>
        <v>302.39999999999998</v>
      </c>
    </row>
    <row r="727" spans="1:10" s="1" customFormat="1" ht="25.5" customHeight="1" x14ac:dyDescent="0.2">
      <c r="A727" s="8"/>
      <c r="B727" s="23">
        <v>45298</v>
      </c>
      <c r="C727" s="137" t="s">
        <v>1182</v>
      </c>
      <c r="D727" s="138"/>
      <c r="E727" s="8"/>
      <c r="F727" s="8"/>
      <c r="G727" s="8"/>
      <c r="H727" s="8"/>
      <c r="I727" s="8"/>
      <c r="J727" s="8"/>
    </row>
    <row r="728" spans="1:10" s="1" customFormat="1" ht="25.5" customHeight="1" x14ac:dyDescent="0.2">
      <c r="A728" s="22" t="s">
        <v>308</v>
      </c>
      <c r="B728" s="11" t="s">
        <v>1183</v>
      </c>
      <c r="C728" s="139" t="s">
        <v>1184</v>
      </c>
      <c r="D728" s="140"/>
      <c r="E728" s="11" t="s">
        <v>102</v>
      </c>
      <c r="F728" s="12">
        <v>3</v>
      </c>
      <c r="G728" s="12">
        <v>18.899999999999999</v>
      </c>
      <c r="H728" s="12">
        <v>24.11</v>
      </c>
      <c r="I728" s="13">
        <f>F728*G728</f>
        <v>56.699999999999996</v>
      </c>
      <c r="J728" s="13">
        <f>F728*H728</f>
        <v>72.33</v>
      </c>
    </row>
    <row r="729" spans="1:10" s="1" customFormat="1" ht="25.5" customHeight="1" x14ac:dyDescent="0.2">
      <c r="A729" s="22" t="s">
        <v>308</v>
      </c>
      <c r="B729" s="11" t="s">
        <v>1185</v>
      </c>
      <c r="C729" s="139" t="s">
        <v>1186</v>
      </c>
      <c r="D729" s="140"/>
      <c r="E729" s="11" t="s">
        <v>102</v>
      </c>
      <c r="F729" s="12">
        <v>5</v>
      </c>
      <c r="G729" s="12">
        <v>15.9</v>
      </c>
      <c r="H729" s="12">
        <v>20.29</v>
      </c>
      <c r="I729" s="13">
        <f>F729*G729</f>
        <v>79.5</v>
      </c>
      <c r="J729" s="13">
        <f>F729*H729</f>
        <v>101.44999999999999</v>
      </c>
    </row>
    <row r="730" spans="1:10" s="1" customFormat="1" ht="25.5" customHeight="1" x14ac:dyDescent="0.2">
      <c r="A730" s="8"/>
      <c r="B730" s="23">
        <v>45299</v>
      </c>
      <c r="C730" s="137" t="s">
        <v>1187</v>
      </c>
      <c r="D730" s="138"/>
      <c r="E730" s="8"/>
      <c r="F730" s="8"/>
      <c r="G730" s="8"/>
      <c r="H730" s="8"/>
      <c r="I730" s="8"/>
      <c r="J730" s="8"/>
    </row>
    <row r="731" spans="1:10" s="1" customFormat="1" ht="25.5" customHeight="1" x14ac:dyDescent="0.2">
      <c r="A731" s="22" t="s">
        <v>308</v>
      </c>
      <c r="B731" s="11" t="s">
        <v>1188</v>
      </c>
      <c r="C731" s="139" t="s">
        <v>1189</v>
      </c>
      <c r="D731" s="140"/>
      <c r="E731" s="11" t="s">
        <v>102</v>
      </c>
      <c r="F731" s="12">
        <v>4</v>
      </c>
      <c r="G731" s="12">
        <v>96</v>
      </c>
      <c r="H731" s="12">
        <v>122.49</v>
      </c>
      <c r="I731" s="13">
        <f>F731*G731</f>
        <v>384</v>
      </c>
      <c r="J731" s="13">
        <f>F731*H731</f>
        <v>489.96</v>
      </c>
    </row>
    <row r="732" spans="1:10" s="1" customFormat="1" ht="25.5" customHeight="1" x14ac:dyDescent="0.2">
      <c r="A732" s="8"/>
      <c r="B732" s="23">
        <v>45300</v>
      </c>
      <c r="C732" s="137" t="s">
        <v>1190</v>
      </c>
      <c r="D732" s="138"/>
      <c r="E732" s="8"/>
      <c r="F732" s="8"/>
      <c r="G732" s="8"/>
      <c r="H732" s="8"/>
      <c r="I732" s="8"/>
      <c r="J732" s="8"/>
    </row>
    <row r="733" spans="1:10" s="1" customFormat="1" ht="25.5" customHeight="1" x14ac:dyDescent="0.2">
      <c r="A733" s="22" t="s">
        <v>308</v>
      </c>
      <c r="B733" s="11" t="s">
        <v>1191</v>
      </c>
      <c r="C733" s="139" t="s">
        <v>1192</v>
      </c>
      <c r="D733" s="140"/>
      <c r="E733" s="11" t="s">
        <v>102</v>
      </c>
      <c r="F733" s="12">
        <v>1</v>
      </c>
      <c r="G733" s="12">
        <v>28.29</v>
      </c>
      <c r="H733" s="12">
        <v>36.1</v>
      </c>
      <c r="I733" s="13">
        <f>F733*G733</f>
        <v>28.29</v>
      </c>
      <c r="J733" s="13">
        <f>F733*H733</f>
        <v>36.1</v>
      </c>
    </row>
    <row r="734" spans="1:10" s="1" customFormat="1" ht="25.5" customHeight="1" x14ac:dyDescent="0.2">
      <c r="A734" s="22" t="s">
        <v>308</v>
      </c>
      <c r="B734" s="11" t="s">
        <v>1193</v>
      </c>
      <c r="C734" s="139" t="s">
        <v>1194</v>
      </c>
      <c r="D734" s="140"/>
      <c r="E734" s="11" t="s">
        <v>102</v>
      </c>
      <c r="F734" s="12">
        <v>2</v>
      </c>
      <c r="G734" s="12">
        <v>21.93</v>
      </c>
      <c r="H734" s="12">
        <v>27.98</v>
      </c>
      <c r="I734" s="13">
        <f>F734*G734</f>
        <v>43.86</v>
      </c>
      <c r="J734" s="13">
        <f>F734*H734</f>
        <v>55.96</v>
      </c>
    </row>
    <row r="735" spans="1:10" s="1" customFormat="1" ht="25.5" customHeight="1" x14ac:dyDescent="0.2">
      <c r="A735" s="8"/>
      <c r="B735" s="9" t="s">
        <v>1195</v>
      </c>
      <c r="C735" s="137" t="s">
        <v>1196</v>
      </c>
      <c r="D735" s="138"/>
      <c r="E735" s="8"/>
      <c r="F735" s="8"/>
      <c r="G735" s="8"/>
      <c r="H735" s="8"/>
      <c r="I735" s="8"/>
      <c r="J735" s="8"/>
    </row>
    <row r="736" spans="1:10" s="1" customFormat="1" ht="25.5" customHeight="1" x14ac:dyDescent="0.2">
      <c r="A736" s="8"/>
      <c r="B736" s="23">
        <v>45323</v>
      </c>
      <c r="C736" s="137" t="s">
        <v>1197</v>
      </c>
      <c r="D736" s="138"/>
      <c r="E736" s="8"/>
      <c r="F736" s="8"/>
      <c r="G736" s="8"/>
      <c r="H736" s="8"/>
      <c r="I736" s="8"/>
      <c r="J736" s="8"/>
    </row>
    <row r="737" spans="1:10" s="1" customFormat="1" ht="25.5" customHeight="1" x14ac:dyDescent="0.2">
      <c r="A737" s="22" t="s">
        <v>308</v>
      </c>
      <c r="B737" s="11" t="s">
        <v>1198</v>
      </c>
      <c r="C737" s="139" t="s">
        <v>1199</v>
      </c>
      <c r="D737" s="140"/>
      <c r="E737" s="11" t="s">
        <v>102</v>
      </c>
      <c r="F737" s="12">
        <v>2</v>
      </c>
      <c r="G737" s="12">
        <v>14.99</v>
      </c>
      <c r="H737" s="12">
        <v>19.13</v>
      </c>
      <c r="I737" s="13">
        <f>F737*G737</f>
        <v>29.98</v>
      </c>
      <c r="J737" s="13">
        <f>F737*H737</f>
        <v>38.26</v>
      </c>
    </row>
    <row r="738" spans="1:10" s="1" customFormat="1" ht="25.5" customHeight="1" x14ac:dyDescent="0.2">
      <c r="A738" s="8"/>
      <c r="B738" s="23">
        <v>45324</v>
      </c>
      <c r="C738" s="137" t="s">
        <v>1200</v>
      </c>
      <c r="D738" s="138"/>
      <c r="E738" s="8"/>
      <c r="F738" s="8"/>
      <c r="G738" s="8"/>
      <c r="H738" s="8"/>
      <c r="I738" s="8"/>
      <c r="J738" s="8"/>
    </row>
    <row r="739" spans="1:10" s="1" customFormat="1" ht="25.5" customHeight="1" x14ac:dyDescent="0.2">
      <c r="A739" s="22" t="s">
        <v>308</v>
      </c>
      <c r="B739" s="11" t="s">
        <v>1201</v>
      </c>
      <c r="C739" s="139" t="s">
        <v>1202</v>
      </c>
      <c r="D739" s="140"/>
      <c r="E739" s="11" t="s">
        <v>102</v>
      </c>
      <c r="F739" s="12">
        <v>1</v>
      </c>
      <c r="G739" s="12">
        <v>180</v>
      </c>
      <c r="H739" s="12">
        <v>229.66</v>
      </c>
      <c r="I739" s="13">
        <f>F739*G739</f>
        <v>180</v>
      </c>
      <c r="J739" s="13">
        <f>F739*H739</f>
        <v>229.66</v>
      </c>
    </row>
    <row r="740" spans="1:10" s="1" customFormat="1" ht="25.5" customHeight="1" x14ac:dyDescent="0.2">
      <c r="A740" s="22" t="s">
        <v>308</v>
      </c>
      <c r="B740" s="11" t="s">
        <v>1203</v>
      </c>
      <c r="C740" s="139" t="s">
        <v>1204</v>
      </c>
      <c r="D740" s="140"/>
      <c r="E740" s="11" t="s">
        <v>102</v>
      </c>
      <c r="F740" s="12">
        <v>2</v>
      </c>
      <c r="G740" s="12">
        <v>49.9</v>
      </c>
      <c r="H740" s="12">
        <v>63.67</v>
      </c>
      <c r="I740" s="13">
        <f>F740*G740</f>
        <v>99.8</v>
      </c>
      <c r="J740" s="13">
        <f>F740*H740</f>
        <v>127.34</v>
      </c>
    </row>
    <row r="741" spans="1:10" s="1" customFormat="1" ht="25.5" customHeight="1" x14ac:dyDescent="0.2">
      <c r="A741" s="8"/>
      <c r="B741" s="23">
        <v>45325</v>
      </c>
      <c r="C741" s="137" t="s">
        <v>1205</v>
      </c>
      <c r="D741" s="138"/>
      <c r="E741" s="8"/>
      <c r="F741" s="8"/>
      <c r="G741" s="8"/>
      <c r="H741" s="8"/>
      <c r="I741" s="8"/>
      <c r="J741" s="8"/>
    </row>
    <row r="742" spans="1:10" s="1" customFormat="1" ht="25.5" customHeight="1" x14ac:dyDescent="0.2">
      <c r="A742" s="22" t="s">
        <v>308</v>
      </c>
      <c r="B742" s="11" t="s">
        <v>1206</v>
      </c>
      <c r="C742" s="139" t="s">
        <v>1207</v>
      </c>
      <c r="D742" s="140"/>
      <c r="E742" s="11" t="s">
        <v>102</v>
      </c>
      <c r="F742" s="12">
        <v>2</v>
      </c>
      <c r="G742" s="12">
        <v>49</v>
      </c>
      <c r="H742" s="12">
        <v>62.52</v>
      </c>
      <c r="I742" s="13">
        <f>F742*G742</f>
        <v>98</v>
      </c>
      <c r="J742" s="13">
        <f>F742*H742</f>
        <v>125.04</v>
      </c>
    </row>
    <row r="743" spans="1:10" s="1" customFormat="1" ht="25.5" customHeight="1" x14ac:dyDescent="0.2">
      <c r="A743" s="8"/>
      <c r="B743" s="23">
        <v>45325</v>
      </c>
      <c r="C743" s="137" t="s">
        <v>1208</v>
      </c>
      <c r="D743" s="138"/>
      <c r="E743" s="8"/>
      <c r="F743" s="8"/>
      <c r="G743" s="8"/>
      <c r="H743" s="8"/>
      <c r="I743" s="8"/>
      <c r="J743" s="8"/>
    </row>
    <row r="744" spans="1:10" s="1" customFormat="1" ht="25.5" customHeight="1" x14ac:dyDescent="0.2">
      <c r="A744" s="22" t="s">
        <v>308</v>
      </c>
      <c r="B744" s="11" t="s">
        <v>1206</v>
      </c>
      <c r="C744" s="139" t="s">
        <v>1209</v>
      </c>
      <c r="D744" s="140"/>
      <c r="E744" s="11" t="s">
        <v>102</v>
      </c>
      <c r="F744" s="12">
        <v>1</v>
      </c>
      <c r="G744" s="12">
        <v>26.89</v>
      </c>
      <c r="H744" s="12">
        <v>34.31</v>
      </c>
      <c r="I744" s="13">
        <f>F744*G744</f>
        <v>26.89</v>
      </c>
      <c r="J744" s="13">
        <f>F744*H744</f>
        <v>34.31</v>
      </c>
    </row>
    <row r="745" spans="1:10" s="1" customFormat="1" ht="25.5" customHeight="1" x14ac:dyDescent="0.2">
      <c r="A745" s="8"/>
      <c r="B745" s="23">
        <v>45326</v>
      </c>
      <c r="C745" s="137" t="s">
        <v>1210</v>
      </c>
      <c r="D745" s="138"/>
      <c r="E745" s="8"/>
      <c r="F745" s="8"/>
      <c r="G745" s="8"/>
      <c r="H745" s="8"/>
      <c r="I745" s="8"/>
      <c r="J745" s="8"/>
    </row>
    <row r="746" spans="1:10" s="1" customFormat="1" ht="25.5" customHeight="1" x14ac:dyDescent="0.2">
      <c r="A746" s="22" t="s">
        <v>308</v>
      </c>
      <c r="B746" s="11" t="s">
        <v>1211</v>
      </c>
      <c r="C746" s="139" t="s">
        <v>1212</v>
      </c>
      <c r="D746" s="140"/>
      <c r="E746" s="11" t="s">
        <v>102</v>
      </c>
      <c r="F746" s="12">
        <v>6</v>
      </c>
      <c r="G746" s="12">
        <v>0.17</v>
      </c>
      <c r="H746" s="12">
        <v>0.22</v>
      </c>
      <c r="I746" s="13">
        <f>F746*G746</f>
        <v>1.02</v>
      </c>
      <c r="J746" s="13">
        <f>F746*H746</f>
        <v>1.32</v>
      </c>
    </row>
    <row r="747" spans="1:10" s="1" customFormat="1" ht="25.5" customHeight="1" x14ac:dyDescent="0.2">
      <c r="A747" s="8"/>
      <c r="B747" s="149" t="s">
        <v>1213</v>
      </c>
      <c r="C747" s="150"/>
      <c r="D747" s="150"/>
      <c r="E747" s="150"/>
      <c r="F747" s="150"/>
      <c r="G747" s="151"/>
      <c r="H747" s="8"/>
      <c r="I747" s="14">
        <f>SUM(I713:I746)-0.05</f>
        <v>2657.75</v>
      </c>
      <c r="J747" s="15">
        <f>SUM(J713:J746)-0.07</f>
        <v>3391.02</v>
      </c>
    </row>
    <row r="748" spans="1:10" s="1" customFormat="1" ht="25.5" customHeight="1" x14ac:dyDescent="0.2">
      <c r="A748" s="8"/>
      <c r="B748" s="9" t="s">
        <v>1214</v>
      </c>
      <c r="C748" s="137" t="s">
        <v>1215</v>
      </c>
      <c r="D748" s="138"/>
      <c r="E748" s="8"/>
      <c r="F748" s="8"/>
      <c r="G748" s="8"/>
      <c r="H748" s="8"/>
      <c r="I748" s="8"/>
      <c r="J748" s="8"/>
    </row>
    <row r="749" spans="1:10" s="1" customFormat="1" ht="25.5" customHeight="1" x14ac:dyDescent="0.2">
      <c r="A749" s="8"/>
      <c r="B749" s="9" t="s">
        <v>1216</v>
      </c>
      <c r="C749" s="137" t="s">
        <v>1196</v>
      </c>
      <c r="D749" s="152"/>
      <c r="E749" s="152"/>
      <c r="F749" s="152"/>
      <c r="G749" s="152"/>
      <c r="H749" s="152"/>
      <c r="I749" s="138"/>
      <c r="J749" s="8"/>
    </row>
    <row r="750" spans="1:10" s="1" customFormat="1" ht="25.5" customHeight="1" x14ac:dyDescent="0.2">
      <c r="A750" s="27" t="s">
        <v>78</v>
      </c>
      <c r="B750" s="21">
        <v>45658</v>
      </c>
      <c r="C750" s="139" t="s">
        <v>1217</v>
      </c>
      <c r="D750" s="140"/>
      <c r="E750" s="11" t="s">
        <v>102</v>
      </c>
      <c r="F750" s="12">
        <v>8</v>
      </c>
      <c r="G750" s="12">
        <v>95.52</v>
      </c>
      <c r="H750" s="12">
        <v>121.87</v>
      </c>
      <c r="I750" s="13">
        <f t="shared" ref="I750:I762" si="66">F750*G750</f>
        <v>764.16</v>
      </c>
      <c r="J750" s="13">
        <f t="shared" ref="J750:J762" si="67">F750*H750</f>
        <v>974.96</v>
      </c>
    </row>
    <row r="751" spans="1:10" s="1" customFormat="1" ht="25.5" customHeight="1" x14ac:dyDescent="0.2">
      <c r="A751" s="22" t="s">
        <v>308</v>
      </c>
      <c r="B751" s="21">
        <v>45659</v>
      </c>
      <c r="C751" s="139" t="s">
        <v>1218</v>
      </c>
      <c r="D751" s="140"/>
      <c r="E751" s="11" t="s">
        <v>102</v>
      </c>
      <c r="F751" s="12">
        <v>8</v>
      </c>
      <c r="G751" s="12">
        <v>9.93</v>
      </c>
      <c r="H751" s="12">
        <v>12.67</v>
      </c>
      <c r="I751" s="13">
        <f t="shared" si="66"/>
        <v>79.44</v>
      </c>
      <c r="J751" s="13">
        <f t="shared" si="67"/>
        <v>101.36</v>
      </c>
    </row>
    <row r="752" spans="1:10" s="1" customFormat="1" ht="25.5" customHeight="1" x14ac:dyDescent="0.2">
      <c r="A752" s="22" t="s">
        <v>308</v>
      </c>
      <c r="B752" s="21">
        <v>45660</v>
      </c>
      <c r="C752" s="139" t="s">
        <v>1219</v>
      </c>
      <c r="D752" s="140"/>
      <c r="E752" s="11" t="s">
        <v>102</v>
      </c>
      <c r="F752" s="12">
        <v>2</v>
      </c>
      <c r="G752" s="12">
        <v>12.71</v>
      </c>
      <c r="H752" s="12">
        <v>16.22</v>
      </c>
      <c r="I752" s="13">
        <f t="shared" si="66"/>
        <v>25.42</v>
      </c>
      <c r="J752" s="13">
        <f t="shared" si="67"/>
        <v>32.44</v>
      </c>
    </row>
    <row r="753" spans="1:11" s="1" customFormat="1" ht="25.5" customHeight="1" x14ac:dyDescent="0.2">
      <c r="A753" s="22" t="s">
        <v>308</v>
      </c>
      <c r="B753" s="21">
        <v>45661</v>
      </c>
      <c r="C753" s="139" t="s">
        <v>1220</v>
      </c>
      <c r="D753" s="140"/>
      <c r="E753" s="11" t="s">
        <v>102</v>
      </c>
      <c r="F753" s="12">
        <v>5</v>
      </c>
      <c r="G753" s="12">
        <v>150</v>
      </c>
      <c r="H753" s="12">
        <v>191.39</v>
      </c>
      <c r="I753" s="13">
        <f t="shared" si="66"/>
        <v>750</v>
      </c>
      <c r="J753" s="13">
        <f t="shared" si="67"/>
        <v>956.94999999999993</v>
      </c>
    </row>
    <row r="754" spans="1:11" s="1" customFormat="1" ht="25.5" customHeight="1" x14ac:dyDescent="0.2">
      <c r="A754" s="22" t="s">
        <v>308</v>
      </c>
      <c r="B754" s="21">
        <v>45662</v>
      </c>
      <c r="C754" s="139" t="s">
        <v>1221</v>
      </c>
      <c r="D754" s="140"/>
      <c r="E754" s="11" t="s">
        <v>102</v>
      </c>
      <c r="F754" s="12">
        <v>38</v>
      </c>
      <c r="G754" s="12">
        <v>59.9</v>
      </c>
      <c r="H754" s="12">
        <v>76.430000000000007</v>
      </c>
      <c r="I754" s="13">
        <f t="shared" si="66"/>
        <v>2276.1999999999998</v>
      </c>
      <c r="J754" s="13">
        <f t="shared" si="67"/>
        <v>2904.34</v>
      </c>
    </row>
    <row r="755" spans="1:11" s="1" customFormat="1" ht="25.5" customHeight="1" x14ac:dyDescent="0.2">
      <c r="A755" s="22" t="s">
        <v>308</v>
      </c>
      <c r="B755" s="21">
        <v>45663</v>
      </c>
      <c r="C755" s="139" t="s">
        <v>1222</v>
      </c>
      <c r="D755" s="140"/>
      <c r="E755" s="11" t="s">
        <v>102</v>
      </c>
      <c r="F755" s="12">
        <v>2</v>
      </c>
      <c r="G755" s="12">
        <v>219</v>
      </c>
      <c r="H755" s="12">
        <v>279.42</v>
      </c>
      <c r="I755" s="13">
        <f t="shared" si="66"/>
        <v>438</v>
      </c>
      <c r="J755" s="13">
        <f t="shared" si="67"/>
        <v>558.84</v>
      </c>
    </row>
    <row r="756" spans="1:11" s="1" customFormat="1" ht="25.5" customHeight="1" x14ac:dyDescent="0.2">
      <c r="A756" s="22" t="s">
        <v>308</v>
      </c>
      <c r="B756" s="21">
        <v>45664</v>
      </c>
      <c r="C756" s="139" t="s">
        <v>1223</v>
      </c>
      <c r="D756" s="140"/>
      <c r="E756" s="11" t="s">
        <v>102</v>
      </c>
      <c r="F756" s="12">
        <v>9</v>
      </c>
      <c r="G756" s="12">
        <v>19.3</v>
      </c>
      <c r="H756" s="12">
        <v>24.62</v>
      </c>
      <c r="I756" s="13">
        <f t="shared" si="66"/>
        <v>173.70000000000002</v>
      </c>
      <c r="J756" s="13">
        <f t="shared" si="67"/>
        <v>221.58</v>
      </c>
    </row>
    <row r="757" spans="1:11" s="1" customFormat="1" ht="25.5" customHeight="1" x14ac:dyDescent="0.2">
      <c r="A757" s="22" t="s">
        <v>308</v>
      </c>
      <c r="B757" s="21">
        <v>45665</v>
      </c>
      <c r="C757" s="139" t="s">
        <v>1224</v>
      </c>
      <c r="D757" s="140"/>
      <c r="E757" s="11" t="s">
        <v>102</v>
      </c>
      <c r="F757" s="12">
        <v>8</v>
      </c>
      <c r="G757" s="12">
        <v>19.3</v>
      </c>
      <c r="H757" s="12">
        <v>24.62</v>
      </c>
      <c r="I757" s="13">
        <f t="shared" si="66"/>
        <v>154.4</v>
      </c>
      <c r="J757" s="13">
        <f t="shared" si="67"/>
        <v>196.96</v>
      </c>
    </row>
    <row r="758" spans="1:11" s="1" customFormat="1" ht="25.5" customHeight="1" x14ac:dyDescent="0.2">
      <c r="A758" s="22" t="s">
        <v>308</v>
      </c>
      <c r="B758" s="21">
        <v>45666</v>
      </c>
      <c r="C758" s="139" t="s">
        <v>1225</v>
      </c>
      <c r="D758" s="140"/>
      <c r="E758" s="11" t="s">
        <v>102</v>
      </c>
      <c r="F758" s="12">
        <v>8</v>
      </c>
      <c r="G758" s="12">
        <v>9.9</v>
      </c>
      <c r="H758" s="12">
        <v>12.63</v>
      </c>
      <c r="I758" s="13">
        <f t="shared" si="66"/>
        <v>79.2</v>
      </c>
      <c r="J758" s="13">
        <f t="shared" si="67"/>
        <v>101.04</v>
      </c>
    </row>
    <row r="759" spans="1:11" s="1" customFormat="1" ht="25.5" customHeight="1" x14ac:dyDescent="0.2">
      <c r="A759" s="22" t="s">
        <v>308</v>
      </c>
      <c r="B759" s="34">
        <v>40203</v>
      </c>
      <c r="C759" s="139" t="s">
        <v>1226</v>
      </c>
      <c r="D759" s="140"/>
      <c r="E759" s="11" t="s">
        <v>102</v>
      </c>
      <c r="F759" s="12">
        <v>1</v>
      </c>
      <c r="G759" s="12">
        <v>11.57</v>
      </c>
      <c r="H759" s="12">
        <v>14.76</v>
      </c>
      <c r="I759" s="13">
        <f t="shared" si="66"/>
        <v>11.57</v>
      </c>
      <c r="J759" s="13">
        <f t="shared" si="67"/>
        <v>14.76</v>
      </c>
    </row>
    <row r="760" spans="1:11" s="1" customFormat="1" ht="25.5" customHeight="1" x14ac:dyDescent="0.2">
      <c r="A760" s="19">
        <v>38061</v>
      </c>
      <c r="B760" s="34">
        <v>40568</v>
      </c>
      <c r="C760" s="139" t="s">
        <v>1227</v>
      </c>
      <c r="D760" s="140"/>
      <c r="E760" s="11" t="s">
        <v>102</v>
      </c>
      <c r="F760" s="12">
        <v>1</v>
      </c>
      <c r="G760" s="12">
        <v>39.15</v>
      </c>
      <c r="H760" s="12">
        <v>49.95</v>
      </c>
      <c r="I760" s="13">
        <f t="shared" si="66"/>
        <v>39.15</v>
      </c>
      <c r="J760" s="13">
        <f t="shared" si="67"/>
        <v>49.95</v>
      </c>
    </row>
    <row r="761" spans="1:11" s="1" customFormat="1" ht="25.5" customHeight="1" x14ac:dyDescent="0.2">
      <c r="A761" s="19">
        <v>38061</v>
      </c>
      <c r="B761" s="34">
        <v>40933</v>
      </c>
      <c r="C761" s="139" t="s">
        <v>1228</v>
      </c>
      <c r="D761" s="140"/>
      <c r="E761" s="11" t="s">
        <v>102</v>
      </c>
      <c r="F761" s="12">
        <v>1</v>
      </c>
      <c r="G761" s="12">
        <v>39.15</v>
      </c>
      <c r="H761" s="12">
        <v>49.95</v>
      </c>
      <c r="I761" s="13">
        <f t="shared" si="66"/>
        <v>39.15</v>
      </c>
      <c r="J761" s="13">
        <f t="shared" si="67"/>
        <v>49.95</v>
      </c>
    </row>
    <row r="762" spans="1:11" s="1" customFormat="1" ht="25.5" customHeight="1" x14ac:dyDescent="0.2">
      <c r="A762" s="19">
        <v>38061</v>
      </c>
      <c r="B762" s="34">
        <v>41299</v>
      </c>
      <c r="C762" s="139" t="s">
        <v>1229</v>
      </c>
      <c r="D762" s="140"/>
      <c r="E762" s="11" t="s">
        <v>102</v>
      </c>
      <c r="F762" s="12">
        <v>8</v>
      </c>
      <c r="G762" s="12">
        <v>39.15</v>
      </c>
      <c r="H762" s="12">
        <v>49.95</v>
      </c>
      <c r="I762" s="13">
        <f t="shared" si="66"/>
        <v>313.2</v>
      </c>
      <c r="J762" s="13">
        <f t="shared" si="67"/>
        <v>399.6</v>
      </c>
    </row>
    <row r="763" spans="1:11" s="1" customFormat="1" ht="25.5" customHeight="1" x14ac:dyDescent="0.2">
      <c r="A763" s="8"/>
      <c r="B763" s="149" t="s">
        <v>1230</v>
      </c>
      <c r="C763" s="150"/>
      <c r="D763" s="150"/>
      <c r="E763" s="150"/>
      <c r="F763" s="150"/>
      <c r="G763" s="151"/>
      <c r="H763" s="8"/>
      <c r="I763" s="14">
        <f>SUM(I750:I762)-0.02</f>
        <v>5143.569999999997</v>
      </c>
      <c r="J763" s="15">
        <f>SUM(J750:J762)-0.05</f>
        <v>6562.68</v>
      </c>
    </row>
    <row r="764" spans="1:11" s="1" customFormat="1" ht="25.5" customHeight="1" x14ac:dyDescent="0.2">
      <c r="A764" s="8"/>
      <c r="B764" s="153"/>
      <c r="C764" s="157"/>
      <c r="D764" s="157"/>
      <c r="E764" s="157"/>
      <c r="F764" s="157"/>
      <c r="G764" s="157"/>
      <c r="H764" s="157"/>
      <c r="I764" s="154"/>
      <c r="J764" s="8"/>
    </row>
    <row r="765" spans="1:11" s="1" customFormat="1" ht="25.5" customHeight="1" x14ac:dyDescent="0.2">
      <c r="A765" s="8"/>
      <c r="B765" s="9" t="s">
        <v>1231</v>
      </c>
      <c r="C765" s="137" t="s">
        <v>1232</v>
      </c>
      <c r="D765" s="138"/>
      <c r="E765" s="8"/>
      <c r="F765" s="8"/>
      <c r="G765" s="8"/>
      <c r="H765" s="8"/>
      <c r="I765" s="8"/>
      <c r="J765" s="8"/>
    </row>
    <row r="766" spans="1:11" s="1" customFormat="1" ht="25.5" customHeight="1" x14ac:dyDescent="0.2">
      <c r="A766" s="19">
        <v>9537</v>
      </c>
      <c r="B766" s="11" t="s">
        <v>1233</v>
      </c>
      <c r="C766" s="139" t="s">
        <v>1234</v>
      </c>
      <c r="D766" s="140"/>
      <c r="E766" s="11" t="s">
        <v>14</v>
      </c>
      <c r="F766" s="13">
        <v>1118.48</v>
      </c>
      <c r="G766" s="12">
        <v>1.89</v>
      </c>
      <c r="H766" s="12">
        <v>2.41</v>
      </c>
      <c r="I766" s="13">
        <f>F766*G766</f>
        <v>2113.9272000000001</v>
      </c>
      <c r="J766" s="13">
        <f>F766*H766</f>
        <v>2695.5368000000003</v>
      </c>
    </row>
    <row r="767" spans="1:11" s="1" customFormat="1" ht="25.5" customHeight="1" x14ac:dyDescent="0.2">
      <c r="A767" s="8"/>
      <c r="B767" s="149" t="s">
        <v>1235</v>
      </c>
      <c r="C767" s="150"/>
      <c r="D767" s="150"/>
      <c r="E767" s="150"/>
      <c r="F767" s="150"/>
      <c r="G767" s="151"/>
      <c r="H767" s="8"/>
      <c r="I767" s="14">
        <f>SUM(I766)</f>
        <v>2113.9272000000001</v>
      </c>
      <c r="J767" s="15">
        <f>SUM(J766)+1.62</f>
        <v>2697.1568000000002</v>
      </c>
      <c r="K767" s="49"/>
    </row>
    <row r="768" spans="1:11" s="1" customFormat="1" ht="25.5" customHeight="1" x14ac:dyDescent="0.2">
      <c r="A768" s="8"/>
      <c r="B768" s="153"/>
      <c r="C768" s="157"/>
      <c r="D768" s="157"/>
      <c r="E768" s="157"/>
      <c r="F768" s="157"/>
      <c r="G768" s="157"/>
      <c r="H768" s="157"/>
      <c r="I768" s="154"/>
      <c r="J768" s="8"/>
    </row>
    <row r="769" spans="1:10" s="1" customFormat="1" ht="25.5" customHeight="1" x14ac:dyDescent="0.2">
      <c r="A769" s="8"/>
      <c r="B769" s="9" t="s">
        <v>1236</v>
      </c>
      <c r="C769" s="137" t="s">
        <v>1237</v>
      </c>
      <c r="D769" s="138"/>
      <c r="E769" s="8"/>
      <c r="F769" s="8"/>
      <c r="G769" s="8"/>
      <c r="H769" s="8"/>
      <c r="I769" s="8"/>
      <c r="J769" s="8"/>
    </row>
    <row r="770" spans="1:10" s="1" customFormat="1" ht="25.5" customHeight="1" x14ac:dyDescent="0.2">
      <c r="A770" s="8"/>
      <c r="B770" s="9" t="s">
        <v>1238</v>
      </c>
      <c r="C770" s="137" t="s">
        <v>1239</v>
      </c>
      <c r="D770" s="138"/>
      <c r="E770" s="8"/>
      <c r="F770" s="8"/>
      <c r="G770" s="8"/>
      <c r="H770" s="8"/>
      <c r="I770" s="8"/>
      <c r="J770" s="8"/>
    </row>
    <row r="771" spans="1:10" s="1" customFormat="1" ht="25.5" customHeight="1" x14ac:dyDescent="0.2">
      <c r="A771" s="19">
        <v>96523</v>
      </c>
      <c r="B771" s="21">
        <v>46388</v>
      </c>
      <c r="C771" s="139" t="s">
        <v>1240</v>
      </c>
      <c r="D771" s="140"/>
      <c r="E771" s="11" t="s">
        <v>14</v>
      </c>
      <c r="F771" s="12">
        <v>43.47</v>
      </c>
      <c r="G771" s="12">
        <v>59.37</v>
      </c>
      <c r="H771" s="12">
        <v>75.75</v>
      </c>
      <c r="I771" s="13">
        <f t="shared" ref="I771:I783" si="68">F771*G771</f>
        <v>2580.8138999999996</v>
      </c>
      <c r="J771" s="13">
        <f t="shared" ref="J771:J783" si="69">F771*H771</f>
        <v>3292.8525</v>
      </c>
    </row>
    <row r="772" spans="1:10" s="1" customFormat="1" ht="25.5" customHeight="1" x14ac:dyDescent="0.2">
      <c r="A772" s="19">
        <v>96616</v>
      </c>
      <c r="B772" s="21">
        <v>46389</v>
      </c>
      <c r="C772" s="139" t="s">
        <v>1241</v>
      </c>
      <c r="D772" s="140"/>
      <c r="E772" s="16" t="s">
        <v>171</v>
      </c>
      <c r="F772" s="12">
        <v>2.0699999999999998</v>
      </c>
      <c r="G772" s="12">
        <v>395.1</v>
      </c>
      <c r="H772" s="12">
        <v>504.11</v>
      </c>
      <c r="I772" s="13">
        <f t="shared" si="68"/>
        <v>817.85699999999997</v>
      </c>
      <c r="J772" s="13">
        <f t="shared" si="69"/>
        <v>1043.5076999999999</v>
      </c>
    </row>
    <row r="773" spans="1:10" s="1" customFormat="1" ht="25.5" customHeight="1" x14ac:dyDescent="0.2">
      <c r="A773" s="19">
        <v>95592</v>
      </c>
      <c r="B773" s="21">
        <v>46390</v>
      </c>
      <c r="C773" s="139" t="s">
        <v>1242</v>
      </c>
      <c r="D773" s="140"/>
      <c r="E773" s="11" t="s">
        <v>35</v>
      </c>
      <c r="F773" s="13">
        <v>1051.68</v>
      </c>
      <c r="G773" s="12">
        <v>12.22</v>
      </c>
      <c r="H773" s="12">
        <v>15.59</v>
      </c>
      <c r="I773" s="13">
        <f t="shared" si="68"/>
        <v>12851.529600000002</v>
      </c>
      <c r="J773" s="13">
        <f t="shared" si="69"/>
        <v>16395.691200000001</v>
      </c>
    </row>
    <row r="774" spans="1:10" s="1" customFormat="1" ht="25.5" customHeight="1" x14ac:dyDescent="0.2">
      <c r="A774" s="19">
        <v>95585</v>
      </c>
      <c r="B774" s="21">
        <v>46391</v>
      </c>
      <c r="C774" s="139" t="s">
        <v>1243</v>
      </c>
      <c r="D774" s="140"/>
      <c r="E774" s="11" t="s">
        <v>35</v>
      </c>
      <c r="F774" s="12">
        <v>1956.11</v>
      </c>
      <c r="G774" s="12">
        <v>7.67</v>
      </c>
      <c r="H774" s="12">
        <v>9.7799999999999994</v>
      </c>
      <c r="I774" s="13">
        <f t="shared" si="68"/>
        <v>15003.3637</v>
      </c>
      <c r="J774" s="13">
        <f t="shared" si="69"/>
        <v>19130.755799999999</v>
      </c>
    </row>
    <row r="775" spans="1:10" s="1" customFormat="1" ht="25.5" customHeight="1" x14ac:dyDescent="0.2">
      <c r="A775" s="19">
        <v>94965</v>
      </c>
      <c r="B775" s="21">
        <v>46392</v>
      </c>
      <c r="C775" s="139" t="s">
        <v>1244</v>
      </c>
      <c r="D775" s="140"/>
      <c r="E775" s="16" t="s">
        <v>171</v>
      </c>
      <c r="F775" s="12">
        <v>26.73</v>
      </c>
      <c r="G775" s="12">
        <v>302.64</v>
      </c>
      <c r="H775" s="12">
        <v>386.14</v>
      </c>
      <c r="I775" s="13">
        <f t="shared" si="68"/>
        <v>8089.5671999999995</v>
      </c>
      <c r="J775" s="13">
        <f t="shared" si="69"/>
        <v>10321.522199999999</v>
      </c>
    </row>
    <row r="776" spans="1:10" s="1" customFormat="1" ht="25.5" customHeight="1" x14ac:dyDescent="0.2">
      <c r="A776" s="19">
        <v>92873</v>
      </c>
      <c r="B776" s="21">
        <v>46393</v>
      </c>
      <c r="C776" s="139" t="s">
        <v>1245</v>
      </c>
      <c r="D776" s="140"/>
      <c r="E776" s="16" t="s">
        <v>171</v>
      </c>
      <c r="F776" s="12">
        <v>26.73</v>
      </c>
      <c r="G776" s="12">
        <v>135.94</v>
      </c>
      <c r="H776" s="12">
        <v>173.44</v>
      </c>
      <c r="I776" s="13">
        <f t="shared" si="68"/>
        <v>3633.6761999999999</v>
      </c>
      <c r="J776" s="13">
        <f t="shared" si="69"/>
        <v>4636.0511999999999</v>
      </c>
    </row>
    <row r="777" spans="1:10" s="1" customFormat="1" ht="25.5" customHeight="1" x14ac:dyDescent="0.2">
      <c r="A777" s="19">
        <v>96995</v>
      </c>
      <c r="B777" s="21">
        <v>46394</v>
      </c>
      <c r="C777" s="139" t="s">
        <v>1246</v>
      </c>
      <c r="D777" s="140"/>
      <c r="E777" s="16" t="s">
        <v>171</v>
      </c>
      <c r="F777" s="39">
        <v>41.112499999999997</v>
      </c>
      <c r="G777" s="12">
        <v>29.88</v>
      </c>
      <c r="H777" s="12">
        <v>38.119999999999997</v>
      </c>
      <c r="I777" s="13">
        <f t="shared" si="68"/>
        <v>1228.4414999999999</v>
      </c>
      <c r="J777" s="13">
        <f t="shared" si="69"/>
        <v>1567.2084999999997</v>
      </c>
    </row>
    <row r="778" spans="1:10" s="1" customFormat="1" ht="25.5" customHeight="1" x14ac:dyDescent="0.2">
      <c r="A778" s="19">
        <v>68054</v>
      </c>
      <c r="B778" s="21">
        <v>46395</v>
      </c>
      <c r="C778" s="139" t="s">
        <v>1247</v>
      </c>
      <c r="D778" s="140"/>
      <c r="E778" s="11" t="s">
        <v>14</v>
      </c>
      <c r="F778" s="40">
        <v>15.5</v>
      </c>
      <c r="G778" s="12">
        <v>181.93</v>
      </c>
      <c r="H778" s="12">
        <v>232.12</v>
      </c>
      <c r="I778" s="13">
        <f t="shared" si="68"/>
        <v>2819.915</v>
      </c>
      <c r="J778" s="13">
        <f t="shared" si="69"/>
        <v>3597.86</v>
      </c>
    </row>
    <row r="779" spans="1:10" s="1" customFormat="1" ht="25.5" customHeight="1" x14ac:dyDescent="0.2">
      <c r="A779" s="41">
        <v>87478</v>
      </c>
      <c r="B779" s="30">
        <v>46396</v>
      </c>
      <c r="C779" s="139" t="s">
        <v>1248</v>
      </c>
      <c r="D779" s="140"/>
      <c r="E779" s="31" t="s">
        <v>14</v>
      </c>
      <c r="F779" s="32">
        <v>569.25</v>
      </c>
      <c r="G779" s="32">
        <v>30.11</v>
      </c>
      <c r="H779" s="32">
        <v>38.42</v>
      </c>
      <c r="I779" s="13">
        <f t="shared" si="68"/>
        <v>17140.1175</v>
      </c>
      <c r="J779" s="13">
        <f t="shared" si="69"/>
        <v>21870.585000000003</v>
      </c>
    </row>
    <row r="780" spans="1:10" s="1" customFormat="1" ht="25.5" customHeight="1" x14ac:dyDescent="0.2">
      <c r="A780" s="27" t="s">
        <v>1249</v>
      </c>
      <c r="B780" s="34">
        <v>40205</v>
      </c>
      <c r="C780" s="139" t="s">
        <v>1250</v>
      </c>
      <c r="D780" s="140"/>
      <c r="E780" s="11" t="s">
        <v>14</v>
      </c>
      <c r="F780" s="12">
        <v>65.25</v>
      </c>
      <c r="G780" s="12">
        <v>76.17</v>
      </c>
      <c r="H780" s="12">
        <v>97.18</v>
      </c>
      <c r="I780" s="13">
        <f t="shared" si="68"/>
        <v>4970.0924999999997</v>
      </c>
      <c r="J780" s="13">
        <f t="shared" si="69"/>
        <v>6340.9950000000008</v>
      </c>
    </row>
    <row r="781" spans="1:10" s="1" customFormat="1" ht="25.5" customHeight="1" x14ac:dyDescent="0.2">
      <c r="A781" s="19">
        <v>87878</v>
      </c>
      <c r="B781" s="34">
        <v>40570</v>
      </c>
      <c r="C781" s="139" t="s">
        <v>1251</v>
      </c>
      <c r="D781" s="140"/>
      <c r="E781" s="11" t="s">
        <v>14</v>
      </c>
      <c r="F781" s="40">
        <v>1138.5</v>
      </c>
      <c r="G781" s="12">
        <v>2.97</v>
      </c>
      <c r="H781" s="12">
        <v>3.79</v>
      </c>
      <c r="I781" s="13">
        <f t="shared" si="68"/>
        <v>3381.3450000000003</v>
      </c>
      <c r="J781" s="13">
        <f t="shared" si="69"/>
        <v>4314.915</v>
      </c>
    </row>
    <row r="782" spans="1:10" s="1" customFormat="1" ht="25.5" customHeight="1" x14ac:dyDescent="0.2">
      <c r="A782" s="27" t="s">
        <v>229</v>
      </c>
      <c r="B782" s="34">
        <v>40935</v>
      </c>
      <c r="C782" s="139" t="s">
        <v>1252</v>
      </c>
      <c r="D782" s="140"/>
      <c r="E782" s="11" t="s">
        <v>14</v>
      </c>
      <c r="F782" s="40">
        <v>1138.5</v>
      </c>
      <c r="G782" s="12">
        <v>21.63</v>
      </c>
      <c r="H782" s="12">
        <v>27.59</v>
      </c>
      <c r="I782" s="13">
        <f t="shared" si="68"/>
        <v>24625.754999999997</v>
      </c>
      <c r="J782" s="13">
        <f t="shared" si="69"/>
        <v>31411.215</v>
      </c>
    </row>
    <row r="783" spans="1:10" s="1" customFormat="1" ht="25.5" customHeight="1" x14ac:dyDescent="0.2">
      <c r="A783" s="19">
        <v>88489</v>
      </c>
      <c r="B783" s="34">
        <v>41301</v>
      </c>
      <c r="C783" s="139" t="s">
        <v>1253</v>
      </c>
      <c r="D783" s="140"/>
      <c r="E783" s="11" t="s">
        <v>14</v>
      </c>
      <c r="F783" s="42">
        <v>1269</v>
      </c>
      <c r="G783" s="12">
        <v>8.41</v>
      </c>
      <c r="H783" s="12">
        <v>10.73</v>
      </c>
      <c r="I783" s="13">
        <f t="shared" si="68"/>
        <v>10672.29</v>
      </c>
      <c r="J783" s="13">
        <f t="shared" si="69"/>
        <v>13616.37</v>
      </c>
    </row>
    <row r="784" spans="1:10" s="1" customFormat="1" ht="25.5" customHeight="1" x14ac:dyDescent="0.2">
      <c r="A784" s="8"/>
      <c r="B784" s="149" t="s">
        <v>1254</v>
      </c>
      <c r="C784" s="150"/>
      <c r="D784" s="150"/>
      <c r="E784" s="150"/>
      <c r="F784" s="150"/>
      <c r="G784" s="151"/>
      <c r="H784" s="8"/>
      <c r="I784" s="18">
        <f>SUM(I771:I783)</f>
        <v>107814.7641</v>
      </c>
      <c r="J784" s="18">
        <f>SUM(J771:J783)</f>
        <v>137539.52909999999</v>
      </c>
    </row>
    <row r="785" spans="1:11" s="1" customFormat="1" ht="25.5" customHeight="1" x14ac:dyDescent="0.2">
      <c r="A785" s="8"/>
      <c r="B785" s="9" t="s">
        <v>1255</v>
      </c>
      <c r="C785" s="137" t="s">
        <v>1256</v>
      </c>
      <c r="D785" s="138"/>
      <c r="E785" s="8"/>
      <c r="F785" s="8"/>
      <c r="G785" s="8"/>
      <c r="H785" s="8"/>
      <c r="I785" s="8"/>
      <c r="J785" s="8"/>
    </row>
    <row r="786" spans="1:11" s="1" customFormat="1" ht="25.5" customHeight="1" x14ac:dyDescent="0.2">
      <c r="A786" s="19">
        <v>92398</v>
      </c>
      <c r="B786" s="30">
        <v>46419</v>
      </c>
      <c r="C786" s="139" t="s">
        <v>1257</v>
      </c>
      <c r="D786" s="140"/>
      <c r="E786" s="31" t="s">
        <v>14</v>
      </c>
      <c r="F786" s="12">
        <v>664.55</v>
      </c>
      <c r="G786" s="12">
        <v>49.08</v>
      </c>
      <c r="H786" s="12">
        <v>62.62</v>
      </c>
      <c r="I786" s="13">
        <f>F786*G786</f>
        <v>32616.113999999998</v>
      </c>
      <c r="J786" s="13">
        <f>F786*H786</f>
        <v>41614.120999999992</v>
      </c>
    </row>
    <row r="787" spans="1:11" s="1" customFormat="1" ht="25.5" customHeight="1" x14ac:dyDescent="0.2">
      <c r="A787" s="41">
        <v>94273</v>
      </c>
      <c r="B787" s="30">
        <v>46420</v>
      </c>
      <c r="C787" s="139" t="s">
        <v>1258</v>
      </c>
      <c r="D787" s="140"/>
      <c r="E787" s="31" t="s">
        <v>81</v>
      </c>
      <c r="F787" s="32">
        <v>144.55000000000001</v>
      </c>
      <c r="G787" s="32">
        <v>31.42</v>
      </c>
      <c r="H787" s="32">
        <v>40.090000000000003</v>
      </c>
      <c r="I787" s="13">
        <f>F787*G787</f>
        <v>4541.7610000000004</v>
      </c>
      <c r="J787" s="13">
        <f>F787*H787</f>
        <v>5795.009500000001</v>
      </c>
    </row>
    <row r="788" spans="1:11" s="1" customFormat="1" ht="25.5" customHeight="1" x14ac:dyDescent="0.2">
      <c r="A788" s="8"/>
      <c r="B788" s="149" t="s">
        <v>1259</v>
      </c>
      <c r="C788" s="150"/>
      <c r="D788" s="150"/>
      <c r="E788" s="150"/>
      <c r="F788" s="150"/>
      <c r="G788" s="151"/>
      <c r="H788" s="8"/>
      <c r="I788" s="18">
        <f>SUM(I786:I787)</f>
        <v>37157.875</v>
      </c>
      <c r="J788" s="18">
        <f>SUM(J786:J787)</f>
        <v>47409.130499999992</v>
      </c>
    </row>
    <row r="789" spans="1:11" s="1" customFormat="1" ht="25.5" customHeight="1" x14ac:dyDescent="0.2">
      <c r="A789" s="8"/>
      <c r="B789" s="46"/>
      <c r="C789" s="153"/>
      <c r="D789" s="154"/>
      <c r="E789" s="8"/>
      <c r="F789" s="8"/>
      <c r="G789" s="8"/>
      <c r="H789" s="8"/>
      <c r="I789" s="8"/>
      <c r="J789" s="8"/>
    </row>
    <row r="790" spans="1:11" s="1" customFormat="1" ht="25.5" customHeight="1" x14ac:dyDescent="0.2">
      <c r="A790" s="8"/>
      <c r="B790" s="46"/>
      <c r="C790" s="153"/>
      <c r="D790" s="154"/>
      <c r="E790" s="8"/>
      <c r="F790" s="8"/>
      <c r="G790" s="8"/>
      <c r="H790" s="8"/>
      <c r="I790" s="8"/>
      <c r="J790" s="8"/>
    </row>
    <row r="791" spans="1:11" s="1" customFormat="1" ht="25.5" customHeight="1" x14ac:dyDescent="0.2">
      <c r="A791" s="8"/>
      <c r="B791" s="149" t="s">
        <v>1260</v>
      </c>
      <c r="C791" s="150"/>
      <c r="D791" s="150"/>
      <c r="E791" s="150"/>
      <c r="F791" s="150"/>
      <c r="G791" s="151"/>
      <c r="H791" s="8"/>
      <c r="I791" s="14">
        <f>SUM(I784,I788)-10.32</f>
        <v>144962.31909999999</v>
      </c>
      <c r="J791" s="15">
        <f>SUM(J784,J788)+8.77</f>
        <v>184957.42959999997</v>
      </c>
      <c r="K791" s="49"/>
    </row>
    <row r="792" spans="1:11" s="1" customFormat="1" ht="25.5" customHeight="1" x14ac:dyDescent="0.2">
      <c r="A792" s="35"/>
      <c r="B792" s="149" t="s">
        <v>1261</v>
      </c>
      <c r="C792" s="150"/>
      <c r="D792" s="150"/>
      <c r="E792" s="150"/>
      <c r="F792" s="150"/>
      <c r="G792" s="151"/>
      <c r="H792" s="35"/>
      <c r="I792" s="18">
        <v>1348442.32</v>
      </c>
      <c r="J792" s="18">
        <v>1720477.55</v>
      </c>
    </row>
    <row r="793" spans="1:11" s="1" customFormat="1" ht="25.5" customHeight="1" x14ac:dyDescent="0.2">
      <c r="A793" s="139" t="s">
        <v>0</v>
      </c>
      <c r="B793" s="141"/>
      <c r="C793" s="141"/>
      <c r="D793" s="140"/>
      <c r="E793" s="139" t="s">
        <v>1278</v>
      </c>
      <c r="F793" s="141"/>
      <c r="G793" s="141"/>
      <c r="H793" s="141"/>
      <c r="I793" s="141"/>
      <c r="J793" s="140"/>
    </row>
    <row r="794" spans="1:11" s="1" customFormat="1" ht="25.5" customHeight="1" x14ac:dyDescent="0.2">
      <c r="A794" s="142" t="s">
        <v>2</v>
      </c>
      <c r="B794" s="143"/>
      <c r="C794" s="144">
        <v>25080</v>
      </c>
      <c r="D794" s="145"/>
      <c r="E794" s="2" t="s">
        <v>3</v>
      </c>
      <c r="F794" s="146">
        <v>0.27589999999999998</v>
      </c>
      <c r="G794" s="147"/>
      <c r="H794" s="147"/>
      <c r="I794" s="147"/>
      <c r="J794" s="148"/>
    </row>
    <row r="795" spans="1:11" s="1" customFormat="1" ht="25.5" customHeight="1" x14ac:dyDescent="0.2">
      <c r="A795" s="3" t="s">
        <v>166</v>
      </c>
      <c r="B795" s="4" t="s">
        <v>4</v>
      </c>
      <c r="C795" s="135" t="s">
        <v>5</v>
      </c>
      <c r="D795" s="136"/>
      <c r="E795" s="5" t="s">
        <v>6</v>
      </c>
      <c r="F795" s="5" t="s">
        <v>7</v>
      </c>
      <c r="G795" s="7" t="s">
        <v>1279</v>
      </c>
      <c r="H795" s="7" t="s">
        <v>168</v>
      </c>
      <c r="I795" s="6" t="s">
        <v>169</v>
      </c>
      <c r="J795" s="6" t="s">
        <v>170</v>
      </c>
    </row>
    <row r="796" spans="1:11" s="1" customFormat="1" ht="25.5" customHeight="1" x14ac:dyDescent="0.2">
      <c r="A796" s="8"/>
      <c r="B796" s="9" t="s">
        <v>8</v>
      </c>
      <c r="C796" s="137" t="s">
        <v>9</v>
      </c>
      <c r="D796" s="138"/>
      <c r="E796" s="8"/>
      <c r="F796" s="8"/>
      <c r="G796" s="8"/>
      <c r="H796" s="8"/>
      <c r="I796" s="8"/>
      <c r="J796" s="8"/>
    </row>
    <row r="797" spans="1:11" s="1" customFormat="1" ht="25.5" customHeight="1" x14ac:dyDescent="0.2">
      <c r="A797" s="8"/>
      <c r="B797" s="9" t="s">
        <v>10</v>
      </c>
      <c r="C797" s="137" t="s">
        <v>11</v>
      </c>
      <c r="D797" s="138"/>
      <c r="E797" s="8"/>
      <c r="F797" s="8"/>
      <c r="G797" s="8"/>
      <c r="H797" s="8"/>
      <c r="I797" s="8"/>
      <c r="J797" s="8"/>
    </row>
    <row r="798" spans="1:11" s="1" customFormat="1" ht="25.5" customHeight="1" x14ac:dyDescent="0.2">
      <c r="A798" s="10">
        <v>93207</v>
      </c>
      <c r="B798" s="11" t="s">
        <v>12</v>
      </c>
      <c r="C798" s="139" t="s">
        <v>13</v>
      </c>
      <c r="D798" s="140"/>
      <c r="E798" s="11" t="s">
        <v>14</v>
      </c>
      <c r="F798" s="12">
        <v>25.41</v>
      </c>
      <c r="G798" s="12">
        <v>597.70000000000005</v>
      </c>
      <c r="H798" s="12">
        <v>762.6</v>
      </c>
      <c r="I798" s="13">
        <f>F798*G798</f>
        <v>15187.557000000001</v>
      </c>
      <c r="J798" s="13">
        <f>F798*H798</f>
        <v>19377.666000000001</v>
      </c>
    </row>
    <row r="799" spans="1:11" s="1" customFormat="1" ht="25.5" customHeight="1" x14ac:dyDescent="0.2">
      <c r="A799" s="11" t="s">
        <v>15</v>
      </c>
      <c r="B799" s="11" t="s">
        <v>16</v>
      </c>
      <c r="C799" s="139" t="s">
        <v>17</v>
      </c>
      <c r="D799" s="140"/>
      <c r="E799" s="11" t="s">
        <v>14</v>
      </c>
      <c r="F799" s="12">
        <v>3</v>
      </c>
      <c r="G799" s="12">
        <v>256.73</v>
      </c>
      <c r="H799" s="12">
        <v>327.57</v>
      </c>
      <c r="I799" s="13">
        <f>F799*G799</f>
        <v>770.19</v>
      </c>
      <c r="J799" s="13">
        <f>F799*H799</f>
        <v>982.71</v>
      </c>
    </row>
    <row r="800" spans="1:11" s="1" customFormat="1" ht="25.5" customHeight="1" x14ac:dyDescent="0.2">
      <c r="A800" s="10">
        <v>92235</v>
      </c>
      <c r="B800" s="11" t="s">
        <v>18</v>
      </c>
      <c r="C800" s="139" t="s">
        <v>19</v>
      </c>
      <c r="D800" s="140"/>
      <c r="E800" s="11" t="s">
        <v>14</v>
      </c>
      <c r="F800" s="12">
        <v>650</v>
      </c>
      <c r="G800" s="12">
        <v>49.62</v>
      </c>
      <c r="H800" s="12">
        <v>63.31</v>
      </c>
      <c r="I800" s="13">
        <f>F800*G800</f>
        <v>32253</v>
      </c>
      <c r="J800" s="13">
        <f>F800*H800</f>
        <v>41151.5</v>
      </c>
    </row>
    <row r="801" spans="1:11" s="1" customFormat="1" ht="25.5" customHeight="1" x14ac:dyDescent="0.2">
      <c r="A801" s="11" t="s">
        <v>20</v>
      </c>
      <c r="B801" s="11" t="s">
        <v>21</v>
      </c>
      <c r="C801" s="139" t="s">
        <v>22</v>
      </c>
      <c r="D801" s="140"/>
      <c r="E801" s="11" t="s">
        <v>23</v>
      </c>
      <c r="F801" s="12">
        <v>385.84</v>
      </c>
      <c r="G801" s="12">
        <v>5.2</v>
      </c>
      <c r="H801" s="12">
        <v>6.64</v>
      </c>
      <c r="I801" s="13">
        <f>F801*G801</f>
        <v>2006.3679999999999</v>
      </c>
      <c r="J801" s="13">
        <f>F801*H801</f>
        <v>2561.9775999999997</v>
      </c>
    </row>
    <row r="802" spans="1:11" s="1" customFormat="1" ht="25.5" customHeight="1" x14ac:dyDescent="0.2">
      <c r="A802" s="8"/>
      <c r="B802" s="149" t="s">
        <v>24</v>
      </c>
      <c r="C802" s="150"/>
      <c r="D802" s="150"/>
      <c r="E802" s="150"/>
      <c r="F802" s="150"/>
      <c r="G802" s="151"/>
      <c r="H802" s="8"/>
      <c r="I802" s="14">
        <f>SUM(I798:I801)-1.2</f>
        <v>50215.915000000008</v>
      </c>
      <c r="J802" s="15">
        <f>SUM(J798:J801)-3.35</f>
        <v>64070.503600000004</v>
      </c>
      <c r="K802" s="49"/>
    </row>
    <row r="803" spans="1:11" s="1" customFormat="1" ht="25.5" customHeight="1" x14ac:dyDescent="0.2">
      <c r="A803" s="8"/>
      <c r="B803" s="9" t="s">
        <v>25</v>
      </c>
      <c r="C803" s="137" t="s">
        <v>26</v>
      </c>
      <c r="D803" s="138"/>
      <c r="E803" s="8"/>
      <c r="F803" s="8"/>
      <c r="G803" s="8"/>
      <c r="H803" s="8"/>
      <c r="I803" s="8"/>
      <c r="J803" s="8"/>
    </row>
    <row r="804" spans="1:11" s="1" customFormat="1" ht="25.5" customHeight="1" x14ac:dyDescent="0.2">
      <c r="A804" s="8"/>
      <c r="B804" s="9" t="s">
        <v>27</v>
      </c>
      <c r="C804" s="137" t="s">
        <v>1262</v>
      </c>
      <c r="D804" s="138"/>
      <c r="E804" s="8"/>
      <c r="F804" s="8"/>
      <c r="G804" s="8"/>
      <c r="H804" s="8"/>
      <c r="I804" s="8"/>
      <c r="J804" s="8"/>
    </row>
    <row r="805" spans="1:11" s="1" customFormat="1" ht="25.5" customHeight="1" x14ac:dyDescent="0.2">
      <c r="A805" s="10">
        <v>94965</v>
      </c>
      <c r="B805" s="11" t="s">
        <v>29</v>
      </c>
      <c r="C805" s="139" t="s">
        <v>30</v>
      </c>
      <c r="D805" s="140"/>
      <c r="E805" s="16" t="s">
        <v>171</v>
      </c>
      <c r="F805" s="12">
        <v>7.82</v>
      </c>
      <c r="G805" s="12">
        <v>302.64</v>
      </c>
      <c r="H805" s="12">
        <v>386.14</v>
      </c>
      <c r="I805" s="13">
        <f>F805*G805</f>
        <v>2366.6448</v>
      </c>
      <c r="J805" s="13">
        <f>F805*H805</f>
        <v>3019.6147999999998</v>
      </c>
    </row>
    <row r="806" spans="1:11" s="1" customFormat="1" ht="25.5" customHeight="1" x14ac:dyDescent="0.2">
      <c r="A806" s="10">
        <v>92873</v>
      </c>
      <c r="B806" s="11" t="s">
        <v>31</v>
      </c>
      <c r="C806" s="139" t="s">
        <v>32</v>
      </c>
      <c r="D806" s="140"/>
      <c r="E806" s="16" t="s">
        <v>171</v>
      </c>
      <c r="F806" s="12">
        <v>7.82</v>
      </c>
      <c r="G806" s="12">
        <v>135.94</v>
      </c>
      <c r="H806" s="12">
        <v>173.44</v>
      </c>
      <c r="I806" s="13">
        <f>F806*G806</f>
        <v>1063.0508</v>
      </c>
      <c r="J806" s="13">
        <f>F806*H806</f>
        <v>1356.3008</v>
      </c>
    </row>
    <row r="807" spans="1:11" s="1" customFormat="1" ht="25.5" customHeight="1" x14ac:dyDescent="0.2">
      <c r="A807" s="10">
        <v>92762</v>
      </c>
      <c r="B807" s="11" t="s">
        <v>33</v>
      </c>
      <c r="C807" s="139" t="s">
        <v>34</v>
      </c>
      <c r="D807" s="140"/>
      <c r="E807" s="11" t="s">
        <v>35</v>
      </c>
      <c r="F807" s="12">
        <v>106.97</v>
      </c>
      <c r="G807" s="12">
        <v>5.86</v>
      </c>
      <c r="H807" s="12">
        <v>7.48</v>
      </c>
      <c r="I807" s="13">
        <f>F807*G807</f>
        <v>626.8442</v>
      </c>
      <c r="J807" s="13">
        <f>F807*H807</f>
        <v>800.13560000000007</v>
      </c>
    </row>
    <row r="808" spans="1:11" s="1" customFormat="1" ht="25.5" customHeight="1" x14ac:dyDescent="0.2">
      <c r="A808" s="10">
        <v>96523</v>
      </c>
      <c r="B808" s="11" t="s">
        <v>36</v>
      </c>
      <c r="C808" s="139" t="s">
        <v>37</v>
      </c>
      <c r="D808" s="140"/>
      <c r="E808" s="16" t="s">
        <v>171</v>
      </c>
      <c r="F808" s="12">
        <v>17.05</v>
      </c>
      <c r="G808" s="12">
        <v>59.37</v>
      </c>
      <c r="H808" s="12">
        <v>75.75</v>
      </c>
      <c r="I808" s="13">
        <f>F808*G808</f>
        <v>1012.2585</v>
      </c>
      <c r="J808" s="13">
        <f>F808*H808</f>
        <v>1291.5375000000001</v>
      </c>
    </row>
    <row r="809" spans="1:11" s="1" customFormat="1" ht="25.5" customHeight="1" x14ac:dyDescent="0.2">
      <c r="A809" s="8"/>
      <c r="B809" s="9" t="s">
        <v>1263</v>
      </c>
      <c r="C809" s="137" t="s">
        <v>28</v>
      </c>
      <c r="D809" s="138"/>
      <c r="E809" s="8"/>
      <c r="F809" s="8"/>
      <c r="G809" s="8"/>
      <c r="H809" s="8"/>
      <c r="I809" s="8"/>
      <c r="J809" s="8"/>
    </row>
    <row r="810" spans="1:11" s="1" customFormat="1" ht="25.5" customHeight="1" x14ac:dyDescent="0.2">
      <c r="A810" s="10">
        <v>94965</v>
      </c>
      <c r="B810" s="11" t="s">
        <v>1264</v>
      </c>
      <c r="C810" s="139" t="s">
        <v>30</v>
      </c>
      <c r="D810" s="140"/>
      <c r="E810" s="16" t="s">
        <v>171</v>
      </c>
      <c r="F810" s="12">
        <v>6.16</v>
      </c>
      <c r="G810" s="12">
        <v>302.64</v>
      </c>
      <c r="H810" s="12">
        <v>386.14</v>
      </c>
      <c r="I810" s="13">
        <f>F810*G810</f>
        <v>1864.2624000000001</v>
      </c>
      <c r="J810" s="13">
        <f>F810*H810</f>
        <v>2378.6224000000002</v>
      </c>
    </row>
    <row r="811" spans="1:11" s="1" customFormat="1" ht="25.5" customHeight="1" x14ac:dyDescent="0.2">
      <c r="A811" s="10">
        <v>92873</v>
      </c>
      <c r="B811" s="11" t="s">
        <v>1265</v>
      </c>
      <c r="C811" s="139" t="s">
        <v>32</v>
      </c>
      <c r="D811" s="140"/>
      <c r="E811" s="16" t="s">
        <v>171</v>
      </c>
      <c r="F811" s="12">
        <v>6.16</v>
      </c>
      <c r="G811" s="12">
        <v>135.94</v>
      </c>
      <c r="H811" s="12">
        <v>173.44</v>
      </c>
      <c r="I811" s="13">
        <f>F811*G811</f>
        <v>837.3904</v>
      </c>
      <c r="J811" s="13">
        <f>F811*H811</f>
        <v>1068.3904</v>
      </c>
    </row>
    <row r="812" spans="1:11" s="1" customFormat="1" ht="25.5" customHeight="1" x14ac:dyDescent="0.2">
      <c r="A812" s="10">
        <v>92762</v>
      </c>
      <c r="B812" s="11" t="s">
        <v>1266</v>
      </c>
      <c r="C812" s="139" t="s">
        <v>34</v>
      </c>
      <c r="D812" s="140"/>
      <c r="E812" s="11" t="s">
        <v>35</v>
      </c>
      <c r="F812" s="12">
        <v>296</v>
      </c>
      <c r="G812" s="12">
        <v>5.86</v>
      </c>
      <c r="H812" s="12">
        <v>7.48</v>
      </c>
      <c r="I812" s="13">
        <f>F812*G812</f>
        <v>1734.5600000000002</v>
      </c>
      <c r="J812" s="13">
        <f>F812*H812</f>
        <v>2214.08</v>
      </c>
    </row>
    <row r="813" spans="1:11" s="1" customFormat="1" ht="25.5" customHeight="1" x14ac:dyDescent="0.2">
      <c r="A813" s="10">
        <v>96523</v>
      </c>
      <c r="B813" s="11" t="s">
        <v>1267</v>
      </c>
      <c r="C813" s="139" t="s">
        <v>37</v>
      </c>
      <c r="D813" s="140"/>
      <c r="E813" s="16" t="s">
        <v>171</v>
      </c>
      <c r="F813" s="12">
        <v>88</v>
      </c>
      <c r="G813" s="12">
        <v>59.37</v>
      </c>
      <c r="H813" s="12">
        <v>75.75</v>
      </c>
      <c r="I813" s="13">
        <f>F813*G813</f>
        <v>5224.5599999999995</v>
      </c>
      <c r="J813" s="13">
        <f>F813*H813</f>
        <v>6666</v>
      </c>
    </row>
    <row r="814" spans="1:11" s="1" customFormat="1" ht="25.5" customHeight="1" x14ac:dyDescent="0.2">
      <c r="A814" s="8"/>
      <c r="B814" s="149" t="s">
        <v>38</v>
      </c>
      <c r="C814" s="150"/>
      <c r="D814" s="150"/>
      <c r="E814" s="150"/>
      <c r="F814" s="150"/>
      <c r="G814" s="151"/>
      <c r="H814" s="8"/>
      <c r="I814" s="14">
        <f>SUM(I805:I813)-0.1</f>
        <v>14729.471099999999</v>
      </c>
      <c r="J814" s="15">
        <f>SUM(J805:J813)-1.35</f>
        <v>18793.3315</v>
      </c>
      <c r="K814" s="49"/>
    </row>
    <row r="815" spans="1:11" s="1" customFormat="1" ht="25.5" customHeight="1" x14ac:dyDescent="0.2">
      <c r="A815" s="8"/>
      <c r="B815" s="9" t="s">
        <v>39</v>
      </c>
      <c r="C815" s="137" t="s">
        <v>40</v>
      </c>
      <c r="D815" s="138"/>
      <c r="E815" s="8"/>
      <c r="F815" s="8"/>
      <c r="G815" s="8"/>
      <c r="H815" s="8"/>
      <c r="I815" s="8"/>
      <c r="J815" s="8"/>
    </row>
    <row r="816" spans="1:11" s="1" customFormat="1" ht="25.5" customHeight="1" x14ac:dyDescent="0.2">
      <c r="A816" s="8"/>
      <c r="B816" s="9" t="s">
        <v>41</v>
      </c>
      <c r="C816" s="137" t="s">
        <v>42</v>
      </c>
      <c r="D816" s="138"/>
      <c r="E816" s="8"/>
      <c r="F816" s="8"/>
      <c r="G816" s="8"/>
      <c r="H816" s="8"/>
      <c r="I816" s="8"/>
      <c r="J816" s="8"/>
    </row>
    <row r="817" spans="1:10" s="1" customFormat="1" ht="25.5" customHeight="1" x14ac:dyDescent="0.2">
      <c r="A817" s="10">
        <v>92265</v>
      </c>
      <c r="B817" s="11" t="s">
        <v>43</v>
      </c>
      <c r="C817" s="139" t="s">
        <v>44</v>
      </c>
      <c r="D817" s="140"/>
      <c r="E817" s="11" t="s">
        <v>14</v>
      </c>
      <c r="F817" s="12">
        <v>142.72</v>
      </c>
      <c r="G817" s="12">
        <v>60.66</v>
      </c>
      <c r="H817" s="12">
        <v>77.400000000000006</v>
      </c>
      <c r="I817" s="13">
        <f>F817*G817</f>
        <v>8657.395199999999</v>
      </c>
      <c r="J817" s="13">
        <f>F817*H817</f>
        <v>11046.528</v>
      </c>
    </row>
    <row r="818" spans="1:10" s="1" customFormat="1" ht="25.5" customHeight="1" x14ac:dyDescent="0.2">
      <c r="A818" s="10">
        <v>92762</v>
      </c>
      <c r="B818" s="11" t="s">
        <v>45</v>
      </c>
      <c r="C818" s="139" t="s">
        <v>46</v>
      </c>
      <c r="D818" s="140"/>
      <c r="E818" s="11" t="s">
        <v>35</v>
      </c>
      <c r="F818" s="12">
        <v>884.82</v>
      </c>
      <c r="G818" s="12">
        <v>5.86</v>
      </c>
      <c r="H818" s="12">
        <v>7.48</v>
      </c>
      <c r="I818" s="13">
        <f>F818*G818</f>
        <v>5185.0452000000005</v>
      </c>
      <c r="J818" s="13">
        <f>F818*H818</f>
        <v>6618.4536000000007</v>
      </c>
    </row>
    <row r="819" spans="1:10" s="1" customFormat="1" ht="25.5" customHeight="1" x14ac:dyDescent="0.2">
      <c r="A819" s="10">
        <v>94965</v>
      </c>
      <c r="B819" s="11" t="s">
        <v>47</v>
      </c>
      <c r="C819" s="139" t="s">
        <v>30</v>
      </c>
      <c r="D819" s="140"/>
      <c r="E819" s="11" t="s">
        <v>48</v>
      </c>
      <c r="F819" s="12">
        <v>10.88</v>
      </c>
      <c r="G819" s="12">
        <v>302.64</v>
      </c>
      <c r="H819" s="12">
        <v>386.14</v>
      </c>
      <c r="I819" s="13">
        <f>F819*G819</f>
        <v>3292.7231999999999</v>
      </c>
      <c r="J819" s="13">
        <f>F819*H819</f>
        <v>4201.2031999999999</v>
      </c>
    </row>
    <row r="820" spans="1:10" s="1" customFormat="1" ht="25.5" customHeight="1" x14ac:dyDescent="0.2">
      <c r="A820" s="10">
        <v>92873</v>
      </c>
      <c r="B820" s="11" t="s">
        <v>49</v>
      </c>
      <c r="C820" s="139" t="s">
        <v>32</v>
      </c>
      <c r="D820" s="140"/>
      <c r="E820" s="11" t="s">
        <v>48</v>
      </c>
      <c r="F820" s="12">
        <v>10.88</v>
      </c>
      <c r="G820" s="12">
        <v>135.94</v>
      </c>
      <c r="H820" s="12">
        <v>173.44</v>
      </c>
      <c r="I820" s="13">
        <f>F820*G820</f>
        <v>1479.0272</v>
      </c>
      <c r="J820" s="13">
        <f>F820*H820</f>
        <v>1887.0272000000002</v>
      </c>
    </row>
    <row r="821" spans="1:10" s="1" customFormat="1" ht="25.5" customHeight="1" x14ac:dyDescent="0.2">
      <c r="A821" s="8"/>
      <c r="B821" s="9" t="s">
        <v>50</v>
      </c>
      <c r="C821" s="137" t="s">
        <v>51</v>
      </c>
      <c r="D821" s="138"/>
      <c r="E821" s="8"/>
      <c r="F821" s="8"/>
      <c r="G821" s="8"/>
      <c r="H821" s="8"/>
      <c r="I821" s="8"/>
      <c r="J821" s="8"/>
    </row>
    <row r="822" spans="1:10" s="1" customFormat="1" ht="25.5" customHeight="1" x14ac:dyDescent="0.2">
      <c r="A822" s="10">
        <v>92265</v>
      </c>
      <c r="B822" s="11" t="s">
        <v>52</v>
      </c>
      <c r="C822" s="139" t="s">
        <v>44</v>
      </c>
      <c r="D822" s="140"/>
      <c r="E822" s="11" t="s">
        <v>14</v>
      </c>
      <c r="F822" s="12">
        <v>721.28</v>
      </c>
      <c r="G822" s="12">
        <v>60.66</v>
      </c>
      <c r="H822" s="12">
        <v>77.400000000000006</v>
      </c>
      <c r="I822" s="13">
        <f>F822*G822</f>
        <v>43752.844799999999</v>
      </c>
      <c r="J822" s="13">
        <f>F822*H822</f>
        <v>55827.072</v>
      </c>
    </row>
    <row r="823" spans="1:10" s="1" customFormat="1" ht="25.5" customHeight="1" x14ac:dyDescent="0.2">
      <c r="A823" s="10">
        <v>92762</v>
      </c>
      <c r="B823" s="11" t="s">
        <v>53</v>
      </c>
      <c r="C823" s="139" t="s">
        <v>46</v>
      </c>
      <c r="D823" s="140"/>
      <c r="E823" s="11" t="s">
        <v>35</v>
      </c>
      <c r="F823" s="13">
        <v>2439.4499999999998</v>
      </c>
      <c r="G823" s="12">
        <v>5.86</v>
      </c>
      <c r="H823" s="12">
        <v>7.48</v>
      </c>
      <c r="I823" s="13">
        <f>F823*G823</f>
        <v>14295.177</v>
      </c>
      <c r="J823" s="13">
        <f>F823*H823</f>
        <v>18247.085999999999</v>
      </c>
    </row>
    <row r="824" spans="1:10" s="1" customFormat="1" ht="25.5" customHeight="1" x14ac:dyDescent="0.2">
      <c r="A824" s="10">
        <v>94965</v>
      </c>
      <c r="B824" s="11" t="s">
        <v>54</v>
      </c>
      <c r="C824" s="139" t="s">
        <v>30</v>
      </c>
      <c r="D824" s="140"/>
      <c r="E824" s="11" t="s">
        <v>48</v>
      </c>
      <c r="F824" s="12">
        <v>45.07</v>
      </c>
      <c r="G824" s="12">
        <v>302.64</v>
      </c>
      <c r="H824" s="12">
        <v>386.14</v>
      </c>
      <c r="I824" s="13">
        <f>F824*G824</f>
        <v>13639.9848</v>
      </c>
      <c r="J824" s="13">
        <f>F824*H824</f>
        <v>17403.3298</v>
      </c>
    </row>
    <row r="825" spans="1:10" s="1" customFormat="1" ht="25.5" customHeight="1" x14ac:dyDescent="0.2">
      <c r="A825" s="10">
        <v>92873</v>
      </c>
      <c r="B825" s="11" t="s">
        <v>55</v>
      </c>
      <c r="C825" s="139" t="s">
        <v>32</v>
      </c>
      <c r="D825" s="140"/>
      <c r="E825" s="11" t="s">
        <v>48</v>
      </c>
      <c r="F825" s="12">
        <v>45.07</v>
      </c>
      <c r="G825" s="12">
        <v>135.94</v>
      </c>
      <c r="H825" s="12">
        <v>173.44</v>
      </c>
      <c r="I825" s="13">
        <f>F825*G825</f>
        <v>6126.8158000000003</v>
      </c>
      <c r="J825" s="13">
        <f>F825*H825</f>
        <v>7816.9408000000003</v>
      </c>
    </row>
    <row r="826" spans="1:10" s="1" customFormat="1" ht="25.5" customHeight="1" x14ac:dyDescent="0.2">
      <c r="A826" s="8"/>
      <c r="B826" s="9" t="s">
        <v>56</v>
      </c>
      <c r="C826" s="137" t="s">
        <v>57</v>
      </c>
      <c r="D826" s="138"/>
      <c r="E826" s="8"/>
      <c r="F826" s="8"/>
      <c r="G826" s="8"/>
      <c r="H826" s="8"/>
      <c r="I826" s="8"/>
      <c r="J826" s="8"/>
    </row>
    <row r="827" spans="1:10" s="1" customFormat="1" ht="25.5" customHeight="1" x14ac:dyDescent="0.2">
      <c r="A827" s="11" t="s">
        <v>58</v>
      </c>
      <c r="B827" s="11" t="s">
        <v>59</v>
      </c>
      <c r="C827" s="139" t="s">
        <v>60</v>
      </c>
      <c r="D827" s="140"/>
      <c r="E827" s="11" t="s">
        <v>14</v>
      </c>
      <c r="F827" s="13">
        <v>1036</v>
      </c>
      <c r="G827" s="12">
        <v>62.75</v>
      </c>
      <c r="H827" s="12">
        <v>80.06</v>
      </c>
      <c r="I827" s="13">
        <f>F827*G827</f>
        <v>65009</v>
      </c>
      <c r="J827" s="13">
        <f>F827*H827</f>
        <v>82942.16</v>
      </c>
    </row>
    <row r="828" spans="1:10" s="1" customFormat="1" ht="25.5" customHeight="1" x14ac:dyDescent="0.2">
      <c r="A828" s="10">
        <v>92763</v>
      </c>
      <c r="B828" s="11" t="s">
        <v>61</v>
      </c>
      <c r="C828" s="139" t="s">
        <v>62</v>
      </c>
      <c r="D828" s="140"/>
      <c r="E828" s="11" t="s">
        <v>35</v>
      </c>
      <c r="F828" s="13">
        <v>3423</v>
      </c>
      <c r="G828" s="12">
        <v>5.22</v>
      </c>
      <c r="H828" s="12">
        <v>6.66</v>
      </c>
      <c r="I828" s="13">
        <f>F828*G828</f>
        <v>17868.059999999998</v>
      </c>
      <c r="J828" s="13">
        <f>F828*H828</f>
        <v>22797.18</v>
      </c>
    </row>
    <row r="829" spans="1:10" s="1" customFormat="1" ht="25.5" customHeight="1" x14ac:dyDescent="0.2">
      <c r="A829" s="10">
        <v>94965</v>
      </c>
      <c r="B829" s="11" t="s">
        <v>63</v>
      </c>
      <c r="C829" s="139" t="s">
        <v>30</v>
      </c>
      <c r="D829" s="140"/>
      <c r="E829" s="11" t="s">
        <v>48</v>
      </c>
      <c r="F829" s="12">
        <v>47.9</v>
      </c>
      <c r="G829" s="12">
        <v>302.64</v>
      </c>
      <c r="H829" s="12">
        <v>386.14</v>
      </c>
      <c r="I829" s="13">
        <f>F829*G829</f>
        <v>14496.455999999998</v>
      </c>
      <c r="J829" s="13">
        <f>F829*H829</f>
        <v>18496.106</v>
      </c>
    </row>
    <row r="830" spans="1:10" s="1" customFormat="1" ht="25.5" customHeight="1" x14ac:dyDescent="0.2">
      <c r="A830" s="10">
        <v>92873</v>
      </c>
      <c r="B830" s="11" t="s">
        <v>64</v>
      </c>
      <c r="C830" s="139" t="s">
        <v>32</v>
      </c>
      <c r="D830" s="140"/>
      <c r="E830" s="11" t="s">
        <v>48</v>
      </c>
      <c r="F830" s="12">
        <v>47.9</v>
      </c>
      <c r="G830" s="12">
        <v>135.94</v>
      </c>
      <c r="H830" s="12">
        <v>173.44</v>
      </c>
      <c r="I830" s="13">
        <f>F830*G830</f>
        <v>6511.5259999999998</v>
      </c>
      <c r="J830" s="13">
        <f>F830*H830</f>
        <v>8307.7759999999998</v>
      </c>
    </row>
    <row r="831" spans="1:10" s="1" customFormat="1" ht="25.5" customHeight="1" x14ac:dyDescent="0.2">
      <c r="A831" s="8"/>
      <c r="B831" s="9" t="s">
        <v>65</v>
      </c>
      <c r="C831" s="137" t="s">
        <v>66</v>
      </c>
      <c r="D831" s="138"/>
      <c r="E831" s="8"/>
      <c r="F831" s="8"/>
      <c r="G831" s="8"/>
      <c r="H831" s="8"/>
      <c r="I831" s="8"/>
      <c r="J831" s="8"/>
    </row>
    <row r="832" spans="1:10" s="1" customFormat="1" ht="25.5" customHeight="1" x14ac:dyDescent="0.2">
      <c r="A832" s="10">
        <v>92265</v>
      </c>
      <c r="B832" s="11" t="s">
        <v>67</v>
      </c>
      <c r="C832" s="139" t="s">
        <v>44</v>
      </c>
      <c r="D832" s="140"/>
      <c r="E832" s="11" t="s">
        <v>14</v>
      </c>
      <c r="F832" s="12">
        <v>370.9</v>
      </c>
      <c r="G832" s="12">
        <v>60.66</v>
      </c>
      <c r="H832" s="12">
        <v>77.400000000000006</v>
      </c>
      <c r="I832" s="13">
        <f>F832*G832</f>
        <v>22498.793999999998</v>
      </c>
      <c r="J832" s="13">
        <f>F832*H832</f>
        <v>28707.66</v>
      </c>
    </row>
    <row r="833" spans="1:11" s="1" customFormat="1" ht="25.5" customHeight="1" x14ac:dyDescent="0.2">
      <c r="A833" s="10">
        <v>92762</v>
      </c>
      <c r="B833" s="11" t="s">
        <v>68</v>
      </c>
      <c r="C833" s="139" t="s">
        <v>46</v>
      </c>
      <c r="D833" s="140"/>
      <c r="E833" s="11" t="s">
        <v>35</v>
      </c>
      <c r="F833" s="13">
        <v>6724.2</v>
      </c>
      <c r="G833" s="12">
        <v>5.86</v>
      </c>
      <c r="H833" s="12">
        <v>7.48</v>
      </c>
      <c r="I833" s="13">
        <f>F833*G833</f>
        <v>39403.811999999998</v>
      </c>
      <c r="J833" s="13">
        <f>F833*H833</f>
        <v>50297.016000000003</v>
      </c>
    </row>
    <row r="834" spans="1:11" s="1" customFormat="1" ht="25.5" customHeight="1" x14ac:dyDescent="0.2">
      <c r="A834" s="10">
        <v>94965</v>
      </c>
      <c r="B834" s="11" t="s">
        <v>69</v>
      </c>
      <c r="C834" s="139" t="s">
        <v>30</v>
      </c>
      <c r="D834" s="140"/>
      <c r="E834" s="11" t="s">
        <v>48</v>
      </c>
      <c r="F834" s="12">
        <v>35.9</v>
      </c>
      <c r="G834" s="12">
        <v>302.64</v>
      </c>
      <c r="H834" s="12">
        <v>386.14</v>
      </c>
      <c r="I834" s="13">
        <f>F834*G834</f>
        <v>10864.776</v>
      </c>
      <c r="J834" s="13">
        <f>F834*H834</f>
        <v>13862.425999999999</v>
      </c>
    </row>
    <row r="835" spans="1:11" s="1" customFormat="1" ht="25.5" customHeight="1" x14ac:dyDescent="0.2">
      <c r="A835" s="10">
        <v>92873</v>
      </c>
      <c r="B835" s="11" t="s">
        <v>70</v>
      </c>
      <c r="C835" s="139" t="s">
        <v>32</v>
      </c>
      <c r="D835" s="140"/>
      <c r="E835" s="11" t="s">
        <v>48</v>
      </c>
      <c r="F835" s="12">
        <v>35.9</v>
      </c>
      <c r="G835" s="12">
        <v>135.94</v>
      </c>
      <c r="H835" s="12">
        <v>173.44</v>
      </c>
      <c r="I835" s="13">
        <f>F835*G835</f>
        <v>4880.2460000000001</v>
      </c>
      <c r="J835" s="13">
        <f>F835*H835</f>
        <v>6226.4960000000001</v>
      </c>
    </row>
    <row r="836" spans="1:11" s="1" customFormat="1" ht="25.5" customHeight="1" x14ac:dyDescent="0.2">
      <c r="A836" s="8"/>
      <c r="B836" s="149" t="s">
        <v>71</v>
      </c>
      <c r="C836" s="150"/>
      <c r="D836" s="150"/>
      <c r="E836" s="150"/>
      <c r="F836" s="150"/>
      <c r="G836" s="151"/>
      <c r="H836" s="8"/>
      <c r="I836" s="14">
        <f>SUM(I817:I835)-13.12</f>
        <v>277948.56319999998</v>
      </c>
      <c r="J836" s="15">
        <f>SUM(J817:J835)-49.9</f>
        <v>354634.56059999997</v>
      </c>
      <c r="K836" s="49"/>
    </row>
    <row r="837" spans="1:11" s="1" customFormat="1" ht="25.5" customHeight="1" x14ac:dyDescent="0.2">
      <c r="A837" s="8"/>
      <c r="B837" s="9" t="s">
        <v>72</v>
      </c>
      <c r="C837" s="137" t="s">
        <v>73</v>
      </c>
      <c r="D837" s="138"/>
      <c r="E837" s="8"/>
      <c r="F837" s="8"/>
      <c r="G837" s="8"/>
      <c r="H837" s="8"/>
      <c r="I837" s="8"/>
      <c r="J837" s="8"/>
    </row>
    <row r="838" spans="1:11" s="1" customFormat="1" ht="25.5" customHeight="1" x14ac:dyDescent="0.2">
      <c r="A838" s="8"/>
      <c r="B838" s="11" t="s">
        <v>74</v>
      </c>
      <c r="C838" s="137" t="s">
        <v>75</v>
      </c>
      <c r="D838" s="138"/>
      <c r="E838" s="8"/>
      <c r="F838" s="8"/>
      <c r="G838" s="8"/>
      <c r="H838" s="8"/>
      <c r="I838" s="8"/>
      <c r="J838" s="8"/>
    </row>
    <row r="839" spans="1:11" s="1" customFormat="1" ht="25.5" customHeight="1" x14ac:dyDescent="0.2">
      <c r="A839" s="10">
        <v>87479</v>
      </c>
      <c r="B839" s="11" t="s">
        <v>76</v>
      </c>
      <c r="C839" s="139" t="s">
        <v>77</v>
      </c>
      <c r="D839" s="140"/>
      <c r="E839" s="11" t="s">
        <v>14</v>
      </c>
      <c r="F839" s="12">
        <v>153.47</v>
      </c>
      <c r="G839" s="12">
        <v>41.64</v>
      </c>
      <c r="H839" s="12">
        <v>53.13</v>
      </c>
      <c r="I839" s="13">
        <f t="shared" ref="I839:I845" si="70">F839*G839</f>
        <v>6390.4908000000005</v>
      </c>
      <c r="J839" s="13">
        <f t="shared" ref="J839:J845" si="71">F839*H839</f>
        <v>8153.8611000000001</v>
      </c>
    </row>
    <row r="840" spans="1:11" s="1" customFormat="1" ht="25.5" customHeight="1" x14ac:dyDescent="0.2">
      <c r="A840" s="11" t="s">
        <v>78</v>
      </c>
      <c r="B840" s="11" t="s">
        <v>79</v>
      </c>
      <c r="C840" s="139" t="s">
        <v>80</v>
      </c>
      <c r="D840" s="140"/>
      <c r="E840" s="11" t="s">
        <v>81</v>
      </c>
      <c r="F840" s="12">
        <v>32.5</v>
      </c>
      <c r="G840" s="12">
        <v>7.91</v>
      </c>
      <c r="H840" s="12">
        <v>10.09</v>
      </c>
      <c r="I840" s="13">
        <f t="shared" si="70"/>
        <v>257.07499999999999</v>
      </c>
      <c r="J840" s="13">
        <f t="shared" si="71"/>
        <v>327.92500000000001</v>
      </c>
    </row>
    <row r="841" spans="1:11" s="1" customFormat="1" ht="25.5" customHeight="1" x14ac:dyDescent="0.2">
      <c r="A841" s="11" t="s">
        <v>82</v>
      </c>
      <c r="B841" s="11" t="s">
        <v>83</v>
      </c>
      <c r="C841" s="139" t="s">
        <v>84</v>
      </c>
      <c r="D841" s="140"/>
      <c r="E841" s="11" t="s">
        <v>14</v>
      </c>
      <c r="F841" s="12">
        <v>27.15</v>
      </c>
      <c r="G841" s="12">
        <v>53.52</v>
      </c>
      <c r="H841" s="12">
        <v>68.290000000000006</v>
      </c>
      <c r="I841" s="13">
        <f t="shared" si="70"/>
        <v>1453.068</v>
      </c>
      <c r="J841" s="13">
        <f t="shared" si="71"/>
        <v>1854.0735</v>
      </c>
    </row>
    <row r="842" spans="1:11" s="1" customFormat="1" ht="25.5" customHeight="1" x14ac:dyDescent="0.2">
      <c r="A842" s="11" t="s">
        <v>85</v>
      </c>
      <c r="B842" s="11" t="s">
        <v>86</v>
      </c>
      <c r="C842" s="139" t="s">
        <v>87</v>
      </c>
      <c r="D842" s="140"/>
      <c r="E842" s="11" t="s">
        <v>14</v>
      </c>
      <c r="F842" s="12">
        <v>45.99</v>
      </c>
      <c r="G842" s="12">
        <v>203.72</v>
      </c>
      <c r="H842" s="12">
        <v>259.93</v>
      </c>
      <c r="I842" s="13">
        <f t="shared" si="70"/>
        <v>9369.0828000000001</v>
      </c>
      <c r="J842" s="13">
        <f t="shared" si="71"/>
        <v>11954.180700000001</v>
      </c>
    </row>
    <row r="843" spans="1:11" s="1" customFormat="1" ht="25.5" customHeight="1" x14ac:dyDescent="0.2">
      <c r="A843" s="11" t="s">
        <v>88</v>
      </c>
      <c r="B843" s="11" t="s">
        <v>89</v>
      </c>
      <c r="C843" s="139" t="s">
        <v>90</v>
      </c>
      <c r="D843" s="140"/>
      <c r="E843" s="11" t="s">
        <v>14</v>
      </c>
      <c r="F843" s="12">
        <v>52.74</v>
      </c>
      <c r="G843" s="12">
        <v>310.44</v>
      </c>
      <c r="H843" s="12">
        <v>396.09</v>
      </c>
      <c r="I843" s="13">
        <f t="shared" si="70"/>
        <v>16372.605600000001</v>
      </c>
      <c r="J843" s="13">
        <f t="shared" si="71"/>
        <v>20889.786599999999</v>
      </c>
    </row>
    <row r="844" spans="1:11" s="1" customFormat="1" ht="25.5" customHeight="1" x14ac:dyDescent="0.2">
      <c r="A844" s="10">
        <v>93187</v>
      </c>
      <c r="B844" s="11" t="s">
        <v>91</v>
      </c>
      <c r="C844" s="139" t="s">
        <v>92</v>
      </c>
      <c r="D844" s="140"/>
      <c r="E844" s="11" t="s">
        <v>81</v>
      </c>
      <c r="F844" s="12">
        <v>228</v>
      </c>
      <c r="G844" s="12">
        <v>52.6</v>
      </c>
      <c r="H844" s="12">
        <v>67.11</v>
      </c>
      <c r="I844" s="13">
        <f t="shared" si="70"/>
        <v>11992.800000000001</v>
      </c>
      <c r="J844" s="13">
        <f t="shared" si="71"/>
        <v>15301.08</v>
      </c>
    </row>
    <row r="845" spans="1:11" s="1" customFormat="1" ht="25.5" customHeight="1" x14ac:dyDescent="0.2">
      <c r="A845" s="10">
        <v>93197</v>
      </c>
      <c r="B845" s="11" t="s">
        <v>93</v>
      </c>
      <c r="C845" s="139" t="s">
        <v>94</v>
      </c>
      <c r="D845" s="140"/>
      <c r="E845" s="11" t="s">
        <v>81</v>
      </c>
      <c r="F845" s="12">
        <v>101.36</v>
      </c>
      <c r="G845" s="12">
        <v>49.48</v>
      </c>
      <c r="H845" s="12">
        <v>63.13</v>
      </c>
      <c r="I845" s="13">
        <f t="shared" si="70"/>
        <v>5015.2927999999993</v>
      </c>
      <c r="J845" s="13">
        <f t="shared" si="71"/>
        <v>6398.8568000000005</v>
      </c>
    </row>
    <row r="846" spans="1:11" s="1" customFormat="1" ht="25.5" customHeight="1" x14ac:dyDescent="0.2">
      <c r="A846" s="8"/>
      <c r="B846" s="149" t="s">
        <v>95</v>
      </c>
      <c r="C846" s="150"/>
      <c r="D846" s="150"/>
      <c r="E846" s="150"/>
      <c r="F846" s="150"/>
      <c r="G846" s="151"/>
      <c r="H846" s="8"/>
      <c r="I846" s="14">
        <f>SUM(I839:I845)-0.28</f>
        <v>50850.135000000009</v>
      </c>
      <c r="J846" s="15">
        <f>SUM(J839:J845)-0.07</f>
        <v>64879.693700000003</v>
      </c>
    </row>
    <row r="847" spans="1:11" s="1" customFormat="1" ht="25.5" customHeight="1" x14ac:dyDescent="0.2">
      <c r="A847" s="8"/>
      <c r="B847" s="9" t="s">
        <v>96</v>
      </c>
      <c r="C847" s="137" t="s">
        <v>97</v>
      </c>
      <c r="D847" s="138"/>
      <c r="E847" s="8"/>
      <c r="F847" s="8"/>
      <c r="G847" s="8"/>
      <c r="H847" s="8"/>
      <c r="I847" s="8"/>
      <c r="J847" s="8"/>
    </row>
    <row r="848" spans="1:11" s="1" customFormat="1" ht="25.5" customHeight="1" x14ac:dyDescent="0.2">
      <c r="A848" s="8"/>
      <c r="B848" s="11" t="s">
        <v>98</v>
      </c>
      <c r="C848" s="137" t="s">
        <v>99</v>
      </c>
      <c r="D848" s="138"/>
      <c r="E848" s="8"/>
      <c r="F848" s="8"/>
      <c r="G848" s="8"/>
      <c r="H848" s="8"/>
      <c r="I848" s="8"/>
      <c r="J848" s="8"/>
    </row>
    <row r="849" spans="1:10" s="1" customFormat="1" ht="25.5" customHeight="1" x14ac:dyDescent="0.2">
      <c r="A849" s="10">
        <v>90822</v>
      </c>
      <c r="B849" s="11" t="s">
        <v>100</v>
      </c>
      <c r="C849" s="139" t="s">
        <v>101</v>
      </c>
      <c r="D849" s="140"/>
      <c r="E849" s="11" t="s">
        <v>102</v>
      </c>
      <c r="F849" s="12">
        <v>14</v>
      </c>
      <c r="G849" s="12">
        <v>329.55</v>
      </c>
      <c r="H849" s="12">
        <v>420.47</v>
      </c>
      <c r="I849" s="13">
        <f t="shared" ref="I849:I855" si="72">F849*G849</f>
        <v>4613.7</v>
      </c>
      <c r="J849" s="13">
        <f t="shared" ref="J849:J855" si="73">F849*H849</f>
        <v>5886.58</v>
      </c>
    </row>
    <row r="850" spans="1:10" s="1" customFormat="1" ht="25.5" customHeight="1" x14ac:dyDescent="0.2">
      <c r="A850" s="11" t="s">
        <v>78</v>
      </c>
      <c r="B850" s="11" t="s">
        <v>103</v>
      </c>
      <c r="C850" s="139" t="s">
        <v>104</v>
      </c>
      <c r="D850" s="140"/>
      <c r="E850" s="11" t="s">
        <v>102</v>
      </c>
      <c r="F850" s="12">
        <v>4</v>
      </c>
      <c r="G850" s="12">
        <v>395.46</v>
      </c>
      <c r="H850" s="12">
        <v>504.57</v>
      </c>
      <c r="I850" s="13">
        <f t="shared" si="72"/>
        <v>1581.84</v>
      </c>
      <c r="J850" s="13">
        <f t="shared" si="73"/>
        <v>2018.28</v>
      </c>
    </row>
    <row r="851" spans="1:10" s="1" customFormat="1" ht="25.5" customHeight="1" x14ac:dyDescent="0.2">
      <c r="A851" s="11" t="s">
        <v>78</v>
      </c>
      <c r="B851" s="11" t="s">
        <v>105</v>
      </c>
      <c r="C851" s="139" t="s">
        <v>106</v>
      </c>
      <c r="D851" s="140"/>
      <c r="E851" s="11" t="s">
        <v>102</v>
      </c>
      <c r="F851" s="12">
        <v>14</v>
      </c>
      <c r="G851" s="12">
        <v>222.6</v>
      </c>
      <c r="H851" s="12">
        <v>284.02</v>
      </c>
      <c r="I851" s="13">
        <f t="shared" si="72"/>
        <v>3116.4</v>
      </c>
      <c r="J851" s="13">
        <f t="shared" si="73"/>
        <v>3976.2799999999997</v>
      </c>
    </row>
    <row r="852" spans="1:10" s="1" customFormat="1" ht="25.5" customHeight="1" x14ac:dyDescent="0.2">
      <c r="A852" s="11" t="s">
        <v>78</v>
      </c>
      <c r="B852" s="11" t="s">
        <v>107</v>
      </c>
      <c r="C852" s="139" t="s">
        <v>108</v>
      </c>
      <c r="D852" s="140"/>
      <c r="E852" s="11" t="s">
        <v>102</v>
      </c>
      <c r="F852" s="12">
        <v>6</v>
      </c>
      <c r="G852" s="12">
        <v>222.6</v>
      </c>
      <c r="H852" s="12">
        <v>284.02</v>
      </c>
      <c r="I852" s="13">
        <f t="shared" si="72"/>
        <v>1335.6</v>
      </c>
      <c r="J852" s="13">
        <f t="shared" si="73"/>
        <v>1704.12</v>
      </c>
    </row>
    <row r="853" spans="1:10" s="1" customFormat="1" ht="25.5" customHeight="1" x14ac:dyDescent="0.2">
      <c r="A853" s="10">
        <v>90820</v>
      </c>
      <c r="B853" s="11" t="s">
        <v>109</v>
      </c>
      <c r="C853" s="139" t="s">
        <v>110</v>
      </c>
      <c r="D853" s="140"/>
      <c r="E853" s="11" t="s">
        <v>102</v>
      </c>
      <c r="F853" s="12">
        <v>4</v>
      </c>
      <c r="G853" s="12">
        <v>308.93</v>
      </c>
      <c r="H853" s="12">
        <v>394.16</v>
      </c>
      <c r="I853" s="13">
        <f t="shared" si="72"/>
        <v>1235.72</v>
      </c>
      <c r="J853" s="13">
        <f t="shared" si="73"/>
        <v>1576.64</v>
      </c>
    </row>
    <row r="854" spans="1:10" s="1" customFormat="1" ht="25.5" customHeight="1" x14ac:dyDescent="0.2">
      <c r="A854" s="11" t="s">
        <v>78</v>
      </c>
      <c r="B854" s="11" t="s">
        <v>111</v>
      </c>
      <c r="C854" s="139" t="s">
        <v>112</v>
      </c>
      <c r="D854" s="140"/>
      <c r="E854" s="11" t="s">
        <v>102</v>
      </c>
      <c r="F854" s="12">
        <v>18</v>
      </c>
      <c r="G854" s="12">
        <v>378.98</v>
      </c>
      <c r="H854" s="12">
        <v>483.54</v>
      </c>
      <c r="I854" s="13">
        <f t="shared" si="72"/>
        <v>6821.64</v>
      </c>
      <c r="J854" s="13">
        <f t="shared" si="73"/>
        <v>8703.7200000000012</v>
      </c>
    </row>
    <row r="855" spans="1:10" s="1" customFormat="1" ht="25.5" customHeight="1" x14ac:dyDescent="0.2">
      <c r="A855" s="11" t="s">
        <v>78</v>
      </c>
      <c r="B855" s="11" t="s">
        <v>113</v>
      </c>
      <c r="C855" s="139" t="s">
        <v>114</v>
      </c>
      <c r="D855" s="140"/>
      <c r="E855" s="11" t="s">
        <v>102</v>
      </c>
      <c r="F855" s="12">
        <v>6</v>
      </c>
      <c r="G855" s="12">
        <v>421.82</v>
      </c>
      <c r="H855" s="12">
        <v>538.20000000000005</v>
      </c>
      <c r="I855" s="13">
        <f t="shared" si="72"/>
        <v>2530.92</v>
      </c>
      <c r="J855" s="13">
        <f t="shared" si="73"/>
        <v>3229.2000000000003</v>
      </c>
    </row>
    <row r="856" spans="1:10" s="1" customFormat="1" ht="25.5" customHeight="1" x14ac:dyDescent="0.2">
      <c r="A856" s="8"/>
      <c r="B856" s="149" t="s">
        <v>115</v>
      </c>
      <c r="C856" s="150"/>
      <c r="D856" s="150"/>
      <c r="E856" s="150"/>
      <c r="F856" s="150"/>
      <c r="G856" s="151"/>
      <c r="H856" s="8"/>
      <c r="I856" s="18">
        <f>SUM(I849:I855)</f>
        <v>21235.82</v>
      </c>
      <c r="J856" s="18">
        <f>SUM(J849:J855)</f>
        <v>27094.82</v>
      </c>
    </row>
    <row r="857" spans="1:10" s="1" customFormat="1" ht="25.5" customHeight="1" x14ac:dyDescent="0.2">
      <c r="A857" s="8"/>
      <c r="B857" s="9" t="s">
        <v>116</v>
      </c>
      <c r="C857" s="137" t="s">
        <v>117</v>
      </c>
      <c r="D857" s="152"/>
      <c r="E857" s="152"/>
      <c r="F857" s="152"/>
      <c r="G857" s="152"/>
      <c r="H857" s="152"/>
      <c r="I857" s="138"/>
      <c r="J857" s="8"/>
    </row>
    <row r="858" spans="1:10" s="1" customFormat="1" ht="25.5" customHeight="1" x14ac:dyDescent="0.2">
      <c r="A858" s="8"/>
      <c r="B858" s="9" t="s">
        <v>118</v>
      </c>
      <c r="C858" s="137" t="s">
        <v>119</v>
      </c>
      <c r="D858" s="138"/>
      <c r="E858" s="8"/>
      <c r="F858" s="8"/>
      <c r="G858" s="8"/>
      <c r="H858" s="8"/>
      <c r="I858" s="8"/>
      <c r="J858" s="8"/>
    </row>
    <row r="859" spans="1:10" s="1" customFormat="1" ht="25.5" customHeight="1" x14ac:dyDescent="0.2">
      <c r="A859" s="11" t="s">
        <v>120</v>
      </c>
      <c r="B859" s="11" t="s">
        <v>121</v>
      </c>
      <c r="C859" s="139" t="s">
        <v>122</v>
      </c>
      <c r="D859" s="140"/>
      <c r="E859" s="11" t="s">
        <v>102</v>
      </c>
      <c r="F859" s="12">
        <v>2</v>
      </c>
      <c r="G859" s="12">
        <v>329.82</v>
      </c>
      <c r="H859" s="12">
        <v>420.82</v>
      </c>
      <c r="I859" s="13">
        <f>F859*G859</f>
        <v>659.64</v>
      </c>
      <c r="J859" s="13">
        <f>F859*H859</f>
        <v>841.64</v>
      </c>
    </row>
    <row r="860" spans="1:10" s="1" customFormat="1" ht="25.5" customHeight="1" x14ac:dyDescent="0.2">
      <c r="A860" s="8"/>
      <c r="B860" s="9" t="s">
        <v>123</v>
      </c>
      <c r="C860" s="137" t="s">
        <v>124</v>
      </c>
      <c r="D860" s="138"/>
      <c r="E860" s="8"/>
      <c r="F860" s="8"/>
      <c r="G860" s="8"/>
      <c r="H860" s="8"/>
      <c r="I860" s="8"/>
      <c r="J860" s="8"/>
    </row>
    <row r="861" spans="1:10" s="1" customFormat="1" ht="25.5" customHeight="1" x14ac:dyDescent="0.2">
      <c r="A861" s="11" t="s">
        <v>78</v>
      </c>
      <c r="B861" s="11" t="s">
        <v>125</v>
      </c>
      <c r="C861" s="139" t="s">
        <v>126</v>
      </c>
      <c r="D861" s="140"/>
      <c r="E861" s="11" t="s">
        <v>102</v>
      </c>
      <c r="F861" s="12">
        <v>6</v>
      </c>
      <c r="G861" s="12">
        <v>179.33</v>
      </c>
      <c r="H861" s="12">
        <v>228.8</v>
      </c>
      <c r="I861" s="13">
        <f t="shared" ref="I861:I880" si="74">F861*G861</f>
        <v>1075.98</v>
      </c>
      <c r="J861" s="13">
        <f t="shared" ref="J861:J880" si="75">F861*H861</f>
        <v>1372.8000000000002</v>
      </c>
    </row>
    <row r="862" spans="1:10" s="1" customFormat="1" ht="25.5" customHeight="1" x14ac:dyDescent="0.2">
      <c r="A862" s="11" t="s">
        <v>78</v>
      </c>
      <c r="B862" s="11" t="s">
        <v>127</v>
      </c>
      <c r="C862" s="139" t="s">
        <v>128</v>
      </c>
      <c r="D862" s="140"/>
      <c r="E862" s="11" t="s">
        <v>102</v>
      </c>
      <c r="F862" s="12">
        <v>15</v>
      </c>
      <c r="G862" s="12">
        <v>268.98</v>
      </c>
      <c r="H862" s="12">
        <v>343.2</v>
      </c>
      <c r="I862" s="13">
        <f t="shared" si="74"/>
        <v>4034.7000000000003</v>
      </c>
      <c r="J862" s="13">
        <f t="shared" si="75"/>
        <v>5148</v>
      </c>
    </row>
    <row r="863" spans="1:10" s="1" customFormat="1" ht="25.5" customHeight="1" x14ac:dyDescent="0.2">
      <c r="A863" s="11" t="s">
        <v>78</v>
      </c>
      <c r="B863" s="11" t="s">
        <v>129</v>
      </c>
      <c r="C863" s="139" t="s">
        <v>130</v>
      </c>
      <c r="D863" s="140"/>
      <c r="E863" s="11" t="s">
        <v>102</v>
      </c>
      <c r="F863" s="12">
        <v>2</v>
      </c>
      <c r="G863" s="12">
        <v>134.49</v>
      </c>
      <c r="H863" s="12">
        <v>171.59</v>
      </c>
      <c r="I863" s="13">
        <f t="shared" si="74"/>
        <v>268.98</v>
      </c>
      <c r="J863" s="13">
        <f t="shared" si="75"/>
        <v>343.18</v>
      </c>
    </row>
    <row r="864" spans="1:10" s="1" customFormat="1" ht="25.5" customHeight="1" x14ac:dyDescent="0.2">
      <c r="A864" s="11" t="s">
        <v>78</v>
      </c>
      <c r="B864" s="11" t="s">
        <v>131</v>
      </c>
      <c r="C864" s="139" t="s">
        <v>132</v>
      </c>
      <c r="D864" s="140"/>
      <c r="E864" s="11" t="s">
        <v>102</v>
      </c>
      <c r="F864" s="12">
        <v>10</v>
      </c>
      <c r="G864" s="12">
        <v>313.92</v>
      </c>
      <c r="H864" s="12">
        <v>400.53</v>
      </c>
      <c r="I864" s="13">
        <f t="shared" si="74"/>
        <v>3139.2000000000003</v>
      </c>
      <c r="J864" s="13">
        <f t="shared" si="75"/>
        <v>4005.2999999999997</v>
      </c>
    </row>
    <row r="865" spans="1:10" s="1" customFormat="1" ht="25.5" customHeight="1" x14ac:dyDescent="0.2">
      <c r="A865" s="11" t="s">
        <v>78</v>
      </c>
      <c r="B865" s="11" t="s">
        <v>133</v>
      </c>
      <c r="C865" s="139" t="s">
        <v>134</v>
      </c>
      <c r="D865" s="140"/>
      <c r="E865" s="11" t="s">
        <v>102</v>
      </c>
      <c r="F865" s="12">
        <v>8</v>
      </c>
      <c r="G865" s="12">
        <v>627.62</v>
      </c>
      <c r="H865" s="12">
        <v>800.79</v>
      </c>
      <c r="I865" s="13">
        <f t="shared" si="74"/>
        <v>5020.96</v>
      </c>
      <c r="J865" s="13">
        <f t="shared" si="75"/>
        <v>6406.32</v>
      </c>
    </row>
    <row r="866" spans="1:10" s="1" customFormat="1" ht="25.5" customHeight="1" x14ac:dyDescent="0.2">
      <c r="A866" s="11" t="s">
        <v>78</v>
      </c>
      <c r="B866" s="11" t="s">
        <v>135</v>
      </c>
      <c r="C866" s="139" t="s">
        <v>136</v>
      </c>
      <c r="D866" s="140"/>
      <c r="E866" s="11" t="s">
        <v>102</v>
      </c>
      <c r="F866" s="12">
        <v>2</v>
      </c>
      <c r="G866" s="12">
        <v>358.64</v>
      </c>
      <c r="H866" s="12">
        <v>457.59</v>
      </c>
      <c r="I866" s="13">
        <f t="shared" si="74"/>
        <v>717.28</v>
      </c>
      <c r="J866" s="13">
        <f t="shared" si="75"/>
        <v>915.18</v>
      </c>
    </row>
    <row r="867" spans="1:10" s="1" customFormat="1" ht="25.5" customHeight="1" x14ac:dyDescent="0.2">
      <c r="A867" s="11" t="s">
        <v>78</v>
      </c>
      <c r="B867" s="11" t="s">
        <v>137</v>
      </c>
      <c r="C867" s="139" t="s">
        <v>138</v>
      </c>
      <c r="D867" s="140"/>
      <c r="E867" s="11" t="s">
        <v>102</v>
      </c>
      <c r="F867" s="12">
        <v>2</v>
      </c>
      <c r="G867" s="12">
        <v>448.3</v>
      </c>
      <c r="H867" s="12">
        <v>571.98</v>
      </c>
      <c r="I867" s="13">
        <f t="shared" si="74"/>
        <v>896.6</v>
      </c>
      <c r="J867" s="13">
        <f t="shared" si="75"/>
        <v>1143.96</v>
      </c>
    </row>
    <row r="868" spans="1:10" s="1" customFormat="1" ht="25.5" customHeight="1" x14ac:dyDescent="0.2">
      <c r="A868" s="11" t="s">
        <v>78</v>
      </c>
      <c r="B868" s="11" t="s">
        <v>139</v>
      </c>
      <c r="C868" s="139" t="s">
        <v>140</v>
      </c>
      <c r="D868" s="140"/>
      <c r="E868" s="11" t="s">
        <v>102</v>
      </c>
      <c r="F868" s="12">
        <v>14</v>
      </c>
      <c r="G868" s="12">
        <v>124.52</v>
      </c>
      <c r="H868" s="12">
        <v>158.88</v>
      </c>
      <c r="I868" s="13">
        <f t="shared" si="74"/>
        <v>1743.28</v>
      </c>
      <c r="J868" s="13">
        <f t="shared" si="75"/>
        <v>2224.3199999999997</v>
      </c>
    </row>
    <row r="869" spans="1:10" s="1" customFormat="1" ht="25.5" customHeight="1" x14ac:dyDescent="0.2">
      <c r="A869" s="11" t="s">
        <v>78</v>
      </c>
      <c r="B869" s="11" t="s">
        <v>141</v>
      </c>
      <c r="C869" s="139" t="s">
        <v>142</v>
      </c>
      <c r="D869" s="140"/>
      <c r="E869" s="11" t="s">
        <v>102</v>
      </c>
      <c r="F869" s="12">
        <v>1</v>
      </c>
      <c r="G869" s="12">
        <v>390.13</v>
      </c>
      <c r="H869" s="12">
        <v>497.77</v>
      </c>
      <c r="I869" s="13">
        <f t="shared" si="74"/>
        <v>390.13</v>
      </c>
      <c r="J869" s="13">
        <f t="shared" si="75"/>
        <v>497.77</v>
      </c>
    </row>
    <row r="870" spans="1:10" s="1" customFormat="1" ht="25.5" customHeight="1" x14ac:dyDescent="0.2">
      <c r="A870" s="11" t="s">
        <v>78</v>
      </c>
      <c r="B870" s="11" t="s">
        <v>143</v>
      </c>
      <c r="C870" s="139" t="s">
        <v>144</v>
      </c>
      <c r="D870" s="140"/>
      <c r="E870" s="11" t="s">
        <v>102</v>
      </c>
      <c r="F870" s="12">
        <v>1</v>
      </c>
      <c r="G870" s="12">
        <v>975.33</v>
      </c>
      <c r="H870" s="13">
        <v>1244.42</v>
      </c>
      <c r="I870" s="13">
        <f t="shared" si="74"/>
        <v>975.33</v>
      </c>
      <c r="J870" s="13">
        <f t="shared" si="75"/>
        <v>1244.42</v>
      </c>
    </row>
    <row r="871" spans="1:10" s="1" customFormat="1" ht="25.5" customHeight="1" x14ac:dyDescent="0.2">
      <c r="A871" s="11" t="s">
        <v>78</v>
      </c>
      <c r="B871" s="11" t="s">
        <v>145</v>
      </c>
      <c r="C871" s="139" t="s">
        <v>146</v>
      </c>
      <c r="D871" s="140"/>
      <c r="E871" s="11" t="s">
        <v>102</v>
      </c>
      <c r="F871" s="12">
        <v>2</v>
      </c>
      <c r="G871" s="12">
        <v>585.20000000000005</v>
      </c>
      <c r="H871" s="12">
        <v>746.65</v>
      </c>
      <c r="I871" s="13">
        <f t="shared" si="74"/>
        <v>1170.4000000000001</v>
      </c>
      <c r="J871" s="13">
        <f t="shared" si="75"/>
        <v>1493.3</v>
      </c>
    </row>
    <row r="872" spans="1:10" s="1" customFormat="1" ht="25.5" customHeight="1" x14ac:dyDescent="0.2">
      <c r="A872" s="11" t="s">
        <v>78</v>
      </c>
      <c r="B872" s="11" t="s">
        <v>147</v>
      </c>
      <c r="C872" s="139" t="s">
        <v>148</v>
      </c>
      <c r="D872" s="140"/>
      <c r="E872" s="11" t="s">
        <v>102</v>
      </c>
      <c r="F872" s="12">
        <v>1</v>
      </c>
      <c r="G872" s="12">
        <v>877.8</v>
      </c>
      <c r="H872" s="13">
        <v>1119.98</v>
      </c>
      <c r="I872" s="13">
        <f t="shared" si="74"/>
        <v>877.8</v>
      </c>
      <c r="J872" s="13">
        <f t="shared" si="75"/>
        <v>1119.98</v>
      </c>
    </row>
    <row r="873" spans="1:10" s="1" customFormat="1" ht="25.5" customHeight="1" x14ac:dyDescent="0.2">
      <c r="A873" s="11" t="s">
        <v>78</v>
      </c>
      <c r="B873" s="11" t="s">
        <v>149</v>
      </c>
      <c r="C873" s="139" t="s">
        <v>150</v>
      </c>
      <c r="D873" s="140"/>
      <c r="E873" s="11" t="s">
        <v>102</v>
      </c>
      <c r="F873" s="12">
        <v>1</v>
      </c>
      <c r="G873" s="13">
        <v>1170.4100000000001</v>
      </c>
      <c r="H873" s="13">
        <v>1493.32</v>
      </c>
      <c r="I873" s="13">
        <f t="shared" si="74"/>
        <v>1170.4100000000001</v>
      </c>
      <c r="J873" s="13">
        <f t="shared" si="75"/>
        <v>1493.32</v>
      </c>
    </row>
    <row r="874" spans="1:10" s="1" customFormat="1" ht="25.5" customHeight="1" x14ac:dyDescent="0.2">
      <c r="A874" s="11" t="s">
        <v>78</v>
      </c>
      <c r="B874" s="11" t="s">
        <v>151</v>
      </c>
      <c r="C874" s="139" t="s">
        <v>152</v>
      </c>
      <c r="D874" s="140"/>
      <c r="E874" s="11" t="s">
        <v>102</v>
      </c>
      <c r="F874" s="12">
        <v>2</v>
      </c>
      <c r="G874" s="13">
        <v>1560.54</v>
      </c>
      <c r="H874" s="13">
        <v>1991.09</v>
      </c>
      <c r="I874" s="13">
        <f t="shared" si="74"/>
        <v>3121.08</v>
      </c>
      <c r="J874" s="13">
        <f t="shared" si="75"/>
        <v>3982.18</v>
      </c>
    </row>
    <row r="875" spans="1:10" s="1" customFormat="1" ht="25.5" customHeight="1" x14ac:dyDescent="0.2">
      <c r="A875" s="11" t="s">
        <v>78</v>
      </c>
      <c r="B875" s="11" t="s">
        <v>153</v>
      </c>
      <c r="C875" s="139" t="s">
        <v>154</v>
      </c>
      <c r="D875" s="140"/>
      <c r="E875" s="11" t="s">
        <v>102</v>
      </c>
      <c r="F875" s="12">
        <v>2</v>
      </c>
      <c r="G875" s="13">
        <v>1950.67</v>
      </c>
      <c r="H875" s="13">
        <v>2488.86</v>
      </c>
      <c r="I875" s="13">
        <f t="shared" si="74"/>
        <v>3901.34</v>
      </c>
      <c r="J875" s="13">
        <f t="shared" si="75"/>
        <v>4977.72</v>
      </c>
    </row>
    <row r="876" spans="1:10" s="1" customFormat="1" ht="25.5" customHeight="1" x14ac:dyDescent="0.2">
      <c r="A876" s="11" t="s">
        <v>78</v>
      </c>
      <c r="B876" s="11" t="s">
        <v>155</v>
      </c>
      <c r="C876" s="139" t="s">
        <v>156</v>
      </c>
      <c r="D876" s="140"/>
      <c r="E876" s="11" t="s">
        <v>102</v>
      </c>
      <c r="F876" s="12">
        <v>5</v>
      </c>
      <c r="G876" s="13">
        <v>2340.81</v>
      </c>
      <c r="H876" s="13">
        <v>2986.64</v>
      </c>
      <c r="I876" s="13">
        <f t="shared" si="74"/>
        <v>11704.05</v>
      </c>
      <c r="J876" s="13">
        <f t="shared" si="75"/>
        <v>14933.199999999999</v>
      </c>
    </row>
    <row r="877" spans="1:10" s="1" customFormat="1" ht="25.5" customHeight="1" x14ac:dyDescent="0.2">
      <c r="A877" s="11" t="s">
        <v>78</v>
      </c>
      <c r="B877" s="11" t="s">
        <v>157</v>
      </c>
      <c r="C877" s="139" t="s">
        <v>158</v>
      </c>
      <c r="D877" s="140"/>
      <c r="E877" s="11" t="s">
        <v>102</v>
      </c>
      <c r="F877" s="12">
        <v>4</v>
      </c>
      <c r="G877" s="13">
        <v>3121.08</v>
      </c>
      <c r="H877" s="13">
        <v>3982.19</v>
      </c>
      <c r="I877" s="13">
        <f t="shared" si="74"/>
        <v>12484.32</v>
      </c>
      <c r="J877" s="13">
        <f t="shared" si="75"/>
        <v>15928.76</v>
      </c>
    </row>
    <row r="878" spans="1:10" s="1" customFormat="1" ht="25.5" customHeight="1" x14ac:dyDescent="0.2">
      <c r="A878" s="11" t="s">
        <v>78</v>
      </c>
      <c r="B878" s="11" t="s">
        <v>159</v>
      </c>
      <c r="C878" s="139" t="s">
        <v>160</v>
      </c>
      <c r="D878" s="140"/>
      <c r="E878" s="11" t="s">
        <v>102</v>
      </c>
      <c r="F878" s="12">
        <v>1</v>
      </c>
      <c r="G878" s="13">
        <v>1137.9000000000001</v>
      </c>
      <c r="H878" s="13">
        <v>1451.84</v>
      </c>
      <c r="I878" s="13">
        <f t="shared" si="74"/>
        <v>1137.9000000000001</v>
      </c>
      <c r="J878" s="13">
        <f t="shared" si="75"/>
        <v>1451.84</v>
      </c>
    </row>
    <row r="879" spans="1:10" s="1" customFormat="1" ht="25.5" customHeight="1" x14ac:dyDescent="0.2">
      <c r="A879" s="11" t="s">
        <v>161</v>
      </c>
      <c r="B879" s="11" t="s">
        <v>162</v>
      </c>
      <c r="C879" s="139" t="s">
        <v>163</v>
      </c>
      <c r="D879" s="140"/>
      <c r="E879" s="11" t="s">
        <v>14</v>
      </c>
      <c r="F879" s="12">
        <v>10.26</v>
      </c>
      <c r="G879" s="12">
        <v>18.63</v>
      </c>
      <c r="H879" s="12">
        <v>23.77</v>
      </c>
      <c r="I879" s="13">
        <f t="shared" si="74"/>
        <v>191.1438</v>
      </c>
      <c r="J879" s="13">
        <f t="shared" si="75"/>
        <v>243.8802</v>
      </c>
    </row>
    <row r="880" spans="1:10" s="1" customFormat="1" ht="25.5" customHeight="1" x14ac:dyDescent="0.2">
      <c r="A880" s="11" t="s">
        <v>120</v>
      </c>
      <c r="B880" s="11" t="s">
        <v>164</v>
      </c>
      <c r="C880" s="139" t="s">
        <v>165</v>
      </c>
      <c r="D880" s="140"/>
      <c r="E880" s="11" t="s">
        <v>102</v>
      </c>
      <c r="F880" s="12">
        <v>9</v>
      </c>
      <c r="G880" s="12">
        <v>582.46</v>
      </c>
      <c r="H880" s="12">
        <v>743.16</v>
      </c>
      <c r="I880" s="13">
        <f t="shared" si="74"/>
        <v>5242.1400000000003</v>
      </c>
      <c r="J880" s="13">
        <f t="shared" si="75"/>
        <v>6688.44</v>
      </c>
    </row>
    <row r="881" spans="1:10" s="1" customFormat="1" ht="25.5" customHeight="1" x14ac:dyDescent="0.2">
      <c r="A881" s="8"/>
      <c r="B881" s="9" t="s">
        <v>172</v>
      </c>
      <c r="C881" s="137" t="s">
        <v>173</v>
      </c>
      <c r="D881" s="138"/>
      <c r="E881" s="8"/>
      <c r="F881" s="8"/>
      <c r="G881" s="8"/>
      <c r="H881" s="8"/>
      <c r="I881" s="8"/>
      <c r="J881" s="8"/>
    </row>
    <row r="882" spans="1:10" s="1" customFormat="1" ht="25.5" customHeight="1" x14ac:dyDescent="0.2">
      <c r="A882" s="10">
        <v>68054</v>
      </c>
      <c r="B882" s="11" t="s">
        <v>174</v>
      </c>
      <c r="C882" s="139" t="s">
        <v>175</v>
      </c>
      <c r="D882" s="140"/>
      <c r="E882" s="11" t="s">
        <v>102</v>
      </c>
      <c r="F882" s="12">
        <v>5</v>
      </c>
      <c r="G882" s="12">
        <v>180.11</v>
      </c>
      <c r="H882" s="12">
        <v>229.8</v>
      </c>
      <c r="I882" s="13">
        <f>F882*G882</f>
        <v>900.55000000000007</v>
      </c>
      <c r="J882" s="13">
        <f>F882*H882</f>
        <v>1149</v>
      </c>
    </row>
    <row r="883" spans="1:10" s="1" customFormat="1" ht="25.5" customHeight="1" x14ac:dyDescent="0.2">
      <c r="A883" s="10">
        <v>68054</v>
      </c>
      <c r="B883" s="11" t="s">
        <v>176</v>
      </c>
      <c r="C883" s="139" t="s">
        <v>177</v>
      </c>
      <c r="D883" s="140"/>
      <c r="E883" s="11" t="s">
        <v>102</v>
      </c>
      <c r="F883" s="12">
        <v>1</v>
      </c>
      <c r="G883" s="12">
        <v>327.47000000000003</v>
      </c>
      <c r="H883" s="12">
        <v>417.81</v>
      </c>
      <c r="I883" s="13">
        <f>F883*G883</f>
        <v>327.47000000000003</v>
      </c>
      <c r="J883" s="13">
        <f>F883*H883</f>
        <v>417.81</v>
      </c>
    </row>
    <row r="884" spans="1:10" s="1" customFormat="1" ht="25.5" customHeight="1" x14ac:dyDescent="0.2">
      <c r="A884" s="11" t="s">
        <v>178</v>
      </c>
      <c r="B884" s="11" t="s">
        <v>179</v>
      </c>
      <c r="C884" s="139" t="s">
        <v>180</v>
      </c>
      <c r="D884" s="140"/>
      <c r="E884" s="11" t="s">
        <v>14</v>
      </c>
      <c r="F884" s="12">
        <v>12.6</v>
      </c>
      <c r="G884" s="12">
        <v>381.87</v>
      </c>
      <c r="H884" s="12">
        <v>487.23</v>
      </c>
      <c r="I884" s="13">
        <f>F884*G884</f>
        <v>4811.5619999999999</v>
      </c>
      <c r="J884" s="13">
        <f>F884*H884</f>
        <v>6139.098</v>
      </c>
    </row>
    <row r="885" spans="1:10" s="1" customFormat="1" ht="25.5" customHeight="1" x14ac:dyDescent="0.2">
      <c r="A885" s="8"/>
      <c r="B885" s="149" t="s">
        <v>181</v>
      </c>
      <c r="C885" s="150"/>
      <c r="D885" s="150"/>
      <c r="E885" s="150"/>
      <c r="F885" s="150"/>
      <c r="G885" s="151"/>
      <c r="H885" s="8"/>
      <c r="I885" s="18">
        <f>SUM(I859:I884)</f>
        <v>65962.245800000004</v>
      </c>
      <c r="J885" s="18">
        <f>SUM(J859:J884)</f>
        <v>84161.418199999986</v>
      </c>
    </row>
    <row r="886" spans="1:10" s="1" customFormat="1" ht="25.5" customHeight="1" x14ac:dyDescent="0.2">
      <c r="A886" s="8"/>
      <c r="B886" s="46"/>
      <c r="C886" s="149" t="s">
        <v>182</v>
      </c>
      <c r="D886" s="150"/>
      <c r="E886" s="150"/>
      <c r="F886" s="150"/>
      <c r="G886" s="151"/>
      <c r="H886" s="8"/>
      <c r="I886" s="14">
        <f>SUM(I856,I885)+0.09</f>
        <v>87198.155800000008</v>
      </c>
      <c r="J886" s="15">
        <f>SUM(J885,J856)-0.1</f>
        <v>111256.13819999999</v>
      </c>
    </row>
    <row r="887" spans="1:10" s="1" customFormat="1" ht="25.5" customHeight="1" x14ac:dyDescent="0.2">
      <c r="A887" s="8"/>
      <c r="B887" s="9" t="s">
        <v>183</v>
      </c>
      <c r="C887" s="137" t="s">
        <v>184</v>
      </c>
      <c r="D887" s="152"/>
      <c r="E887" s="152"/>
      <c r="F887" s="152"/>
      <c r="G887" s="152"/>
      <c r="H887" s="152"/>
      <c r="I887" s="138"/>
      <c r="J887" s="8"/>
    </row>
    <row r="888" spans="1:10" s="1" customFormat="1" ht="25.5" customHeight="1" x14ac:dyDescent="0.2">
      <c r="A888" s="11" t="s">
        <v>185</v>
      </c>
      <c r="B888" s="11" t="s">
        <v>186</v>
      </c>
      <c r="C888" s="139" t="s">
        <v>187</v>
      </c>
      <c r="D888" s="140"/>
      <c r="E888" s="11" t="s">
        <v>14</v>
      </c>
      <c r="F888" s="12">
        <v>13.8</v>
      </c>
      <c r="G888" s="12">
        <v>319.5</v>
      </c>
      <c r="H888" s="12">
        <v>407.65</v>
      </c>
      <c r="I888" s="13">
        <f>F888*G888</f>
        <v>4409.1000000000004</v>
      </c>
      <c r="J888" s="13">
        <f>F888*H888</f>
        <v>5625.57</v>
      </c>
    </row>
    <row r="889" spans="1:10" s="1" customFormat="1" ht="25.5" customHeight="1" x14ac:dyDescent="0.2">
      <c r="A889" s="10">
        <v>85005</v>
      </c>
      <c r="B889" s="11" t="s">
        <v>188</v>
      </c>
      <c r="C889" s="139" t="s">
        <v>189</v>
      </c>
      <c r="D889" s="140"/>
      <c r="E889" s="11" t="s">
        <v>14</v>
      </c>
      <c r="F889" s="12">
        <v>7</v>
      </c>
      <c r="G889" s="12">
        <v>347.14</v>
      </c>
      <c r="H889" s="12">
        <v>442.91</v>
      </c>
      <c r="I889" s="13">
        <f>F889*G889</f>
        <v>2429.98</v>
      </c>
      <c r="J889" s="13">
        <f>F889*H889</f>
        <v>3100.3700000000003</v>
      </c>
    </row>
    <row r="890" spans="1:10" s="1" customFormat="1" ht="25.5" customHeight="1" x14ac:dyDescent="0.2">
      <c r="A890" s="8"/>
      <c r="B890" s="149" t="s">
        <v>190</v>
      </c>
      <c r="C890" s="150"/>
      <c r="D890" s="150"/>
      <c r="E890" s="150"/>
      <c r="F890" s="150"/>
      <c r="G890" s="151"/>
      <c r="H890" s="8"/>
      <c r="I890" s="14">
        <f>SUM(I888:I889)-0.01</f>
        <v>6839.07</v>
      </c>
      <c r="J890" s="15">
        <f>SUM(J888:J889)+0.03</f>
        <v>8725.9700000000012</v>
      </c>
    </row>
    <row r="891" spans="1:10" s="1" customFormat="1" ht="25.5" customHeight="1" x14ac:dyDescent="0.2">
      <c r="A891" s="8"/>
      <c r="B891" s="9" t="s">
        <v>191</v>
      </c>
      <c r="C891" s="137" t="s">
        <v>192</v>
      </c>
      <c r="D891" s="152"/>
      <c r="E891" s="152"/>
      <c r="F891" s="152"/>
      <c r="G891" s="152"/>
      <c r="H891" s="152"/>
      <c r="I891" s="138"/>
      <c r="J891" s="8"/>
    </row>
    <row r="892" spans="1:10" s="1" customFormat="1" ht="25.5" customHeight="1" x14ac:dyDescent="0.2">
      <c r="A892" s="10">
        <v>92539</v>
      </c>
      <c r="B892" s="11" t="s">
        <v>193</v>
      </c>
      <c r="C892" s="139" t="s">
        <v>194</v>
      </c>
      <c r="D892" s="140"/>
      <c r="E892" s="11" t="s">
        <v>14</v>
      </c>
      <c r="F892" s="13">
        <v>1271.78</v>
      </c>
      <c r="G892" s="12">
        <v>52.1</v>
      </c>
      <c r="H892" s="12">
        <v>66.48</v>
      </c>
      <c r="I892" s="13">
        <f t="shared" ref="I892:I897" si="76">F892*G892</f>
        <v>66259.737999999998</v>
      </c>
      <c r="J892" s="13">
        <f t="shared" ref="J892:J897" si="77">F892*H892</f>
        <v>84547.934399999998</v>
      </c>
    </row>
    <row r="893" spans="1:10" s="1" customFormat="1" ht="25.5" customHeight="1" x14ac:dyDescent="0.2">
      <c r="A893" s="10">
        <v>94195</v>
      </c>
      <c r="B893" s="11" t="s">
        <v>195</v>
      </c>
      <c r="C893" s="139" t="s">
        <v>196</v>
      </c>
      <c r="D893" s="140"/>
      <c r="E893" s="11" t="s">
        <v>14</v>
      </c>
      <c r="F893" s="13">
        <v>1264.78</v>
      </c>
      <c r="G893" s="12">
        <v>15.24</v>
      </c>
      <c r="H893" s="12">
        <v>19.440000000000001</v>
      </c>
      <c r="I893" s="13">
        <f t="shared" si="76"/>
        <v>19275.247200000002</v>
      </c>
      <c r="J893" s="13">
        <f t="shared" si="77"/>
        <v>24587.323200000003</v>
      </c>
    </row>
    <row r="894" spans="1:10" s="1" customFormat="1" ht="25.5" customHeight="1" x14ac:dyDescent="0.2">
      <c r="A894" s="10">
        <v>94444</v>
      </c>
      <c r="B894" s="11" t="s">
        <v>197</v>
      </c>
      <c r="C894" s="139" t="s">
        <v>198</v>
      </c>
      <c r="D894" s="140"/>
      <c r="E894" s="11" t="s">
        <v>14</v>
      </c>
      <c r="F894" s="12">
        <v>7</v>
      </c>
      <c r="G894" s="12">
        <v>584.54999999999995</v>
      </c>
      <c r="H894" s="12">
        <v>745.83</v>
      </c>
      <c r="I894" s="13">
        <f t="shared" si="76"/>
        <v>4091.8499999999995</v>
      </c>
      <c r="J894" s="13">
        <f t="shared" si="77"/>
        <v>5220.8100000000004</v>
      </c>
    </row>
    <row r="895" spans="1:10" s="1" customFormat="1" ht="25.5" customHeight="1" x14ac:dyDescent="0.2">
      <c r="A895" s="10">
        <v>94219</v>
      </c>
      <c r="B895" s="11" t="s">
        <v>199</v>
      </c>
      <c r="C895" s="139" t="s">
        <v>200</v>
      </c>
      <c r="D895" s="140"/>
      <c r="E895" s="11" t="s">
        <v>81</v>
      </c>
      <c r="F895" s="12">
        <v>154.99</v>
      </c>
      <c r="G895" s="12">
        <v>18.86</v>
      </c>
      <c r="H895" s="12">
        <v>24.07</v>
      </c>
      <c r="I895" s="13">
        <f t="shared" si="76"/>
        <v>2923.1114000000002</v>
      </c>
      <c r="J895" s="13">
        <f t="shared" si="77"/>
        <v>3730.6093000000001</v>
      </c>
    </row>
    <row r="896" spans="1:10" s="1" customFormat="1" ht="25.5" customHeight="1" x14ac:dyDescent="0.2">
      <c r="A896" s="10">
        <v>94228</v>
      </c>
      <c r="B896" s="11" t="s">
        <v>201</v>
      </c>
      <c r="C896" s="139" t="s">
        <v>202</v>
      </c>
      <c r="D896" s="140"/>
      <c r="E896" s="11" t="s">
        <v>81</v>
      </c>
      <c r="F896" s="12">
        <v>2.5</v>
      </c>
      <c r="G896" s="12">
        <v>42.78</v>
      </c>
      <c r="H896" s="12">
        <v>54.58</v>
      </c>
      <c r="I896" s="13">
        <f t="shared" si="76"/>
        <v>106.95</v>
      </c>
      <c r="J896" s="13">
        <f t="shared" si="77"/>
        <v>136.44999999999999</v>
      </c>
    </row>
    <row r="897" spans="1:11" s="1" customFormat="1" ht="25.5" customHeight="1" x14ac:dyDescent="0.2">
      <c r="A897" s="11" t="s">
        <v>203</v>
      </c>
      <c r="B897" s="11" t="s">
        <v>204</v>
      </c>
      <c r="C897" s="139" t="s">
        <v>205</v>
      </c>
      <c r="D897" s="140"/>
      <c r="E897" s="11" t="s">
        <v>81</v>
      </c>
      <c r="F897" s="12">
        <v>107</v>
      </c>
      <c r="G897" s="12">
        <v>20.81</v>
      </c>
      <c r="H897" s="12">
        <v>26.55</v>
      </c>
      <c r="I897" s="13">
        <f t="shared" si="76"/>
        <v>2226.67</v>
      </c>
      <c r="J897" s="13">
        <f t="shared" si="77"/>
        <v>2840.85</v>
      </c>
    </row>
    <row r="898" spans="1:11" s="1" customFormat="1" ht="25.5" customHeight="1" x14ac:dyDescent="0.2">
      <c r="A898" s="8"/>
      <c r="B898" s="149" t="s">
        <v>206</v>
      </c>
      <c r="C898" s="150"/>
      <c r="D898" s="150"/>
      <c r="E898" s="150"/>
      <c r="F898" s="150"/>
      <c r="G898" s="151"/>
      <c r="H898" s="8"/>
      <c r="I898" s="14">
        <f>SUM(I892:I897)-2.13</f>
        <v>94881.436599999986</v>
      </c>
      <c r="J898" s="15">
        <f>SUM(J892:J897)-4.75</f>
        <v>121059.22689999999</v>
      </c>
      <c r="K898" s="49"/>
    </row>
    <row r="899" spans="1:11" s="1" customFormat="1" ht="25.5" customHeight="1" x14ac:dyDescent="0.2">
      <c r="A899" s="8"/>
      <c r="B899" s="9" t="s">
        <v>207</v>
      </c>
      <c r="C899" s="137" t="s">
        <v>208</v>
      </c>
      <c r="D899" s="152"/>
      <c r="E899" s="152"/>
      <c r="F899" s="152"/>
      <c r="G899" s="152"/>
      <c r="H899" s="152"/>
      <c r="I899" s="138"/>
      <c r="J899" s="8"/>
    </row>
    <row r="900" spans="1:11" s="1" customFormat="1" ht="25.5" customHeight="1" x14ac:dyDescent="0.2">
      <c r="A900" s="11" t="s">
        <v>212</v>
      </c>
      <c r="B900" s="11" t="s">
        <v>210</v>
      </c>
      <c r="C900" s="139" t="s">
        <v>214</v>
      </c>
      <c r="D900" s="140"/>
      <c r="E900" s="11" t="s">
        <v>14</v>
      </c>
      <c r="F900" s="12">
        <v>77</v>
      </c>
      <c r="G900" s="12">
        <v>29.51</v>
      </c>
      <c r="H900" s="12">
        <v>37.65</v>
      </c>
      <c r="I900" s="13">
        <f>F900*G900</f>
        <v>2272.27</v>
      </c>
      <c r="J900" s="13">
        <f>F900*H900</f>
        <v>2899.0499999999997</v>
      </c>
    </row>
    <row r="901" spans="1:11" s="1" customFormat="1" ht="25.5" customHeight="1" x14ac:dyDescent="0.2">
      <c r="A901" s="11" t="s">
        <v>215</v>
      </c>
      <c r="B901" s="11" t="s">
        <v>213</v>
      </c>
      <c r="C901" s="139" t="s">
        <v>217</v>
      </c>
      <c r="D901" s="140"/>
      <c r="E901" s="11" t="s">
        <v>14</v>
      </c>
      <c r="F901" s="12">
        <v>105</v>
      </c>
      <c r="G901" s="12">
        <v>14.07</v>
      </c>
      <c r="H901" s="12">
        <v>17.95</v>
      </c>
      <c r="I901" s="13">
        <f>F901*G901</f>
        <v>1477.3500000000001</v>
      </c>
      <c r="J901" s="13">
        <f>F901*H901</f>
        <v>1884.75</v>
      </c>
    </row>
    <row r="902" spans="1:11" s="1" customFormat="1" ht="25.5" customHeight="1" x14ac:dyDescent="0.2">
      <c r="A902" s="11" t="s">
        <v>215</v>
      </c>
      <c r="B902" s="11" t="s">
        <v>216</v>
      </c>
      <c r="C902" s="139" t="s">
        <v>219</v>
      </c>
      <c r="D902" s="140"/>
      <c r="E902" s="11" t="s">
        <v>14</v>
      </c>
      <c r="F902" s="12">
        <v>221.45</v>
      </c>
      <c r="G902" s="12">
        <v>14.07</v>
      </c>
      <c r="H902" s="12">
        <v>17.95</v>
      </c>
      <c r="I902" s="13">
        <f>F902*G902</f>
        <v>3115.8015</v>
      </c>
      <c r="J902" s="13">
        <f>F902*H902</f>
        <v>3975.0274999999997</v>
      </c>
    </row>
    <row r="903" spans="1:11" s="1" customFormat="1" ht="25.5" customHeight="1" x14ac:dyDescent="0.2">
      <c r="A903" s="8"/>
      <c r="B903" s="149" t="s">
        <v>220</v>
      </c>
      <c r="C903" s="150"/>
      <c r="D903" s="150"/>
      <c r="E903" s="150"/>
      <c r="F903" s="150"/>
      <c r="G903" s="151"/>
      <c r="H903" s="8"/>
      <c r="I903" s="14">
        <f>SUM(I900:I902)-0.9</f>
        <v>6864.5215000000007</v>
      </c>
      <c r="J903" s="15">
        <f>SUM(J900:J902)-0.39</f>
        <v>8758.4375</v>
      </c>
      <c r="K903" s="49"/>
    </row>
    <row r="904" spans="1:11" s="1" customFormat="1" ht="25.5" customHeight="1" x14ac:dyDescent="0.2">
      <c r="A904" s="8"/>
      <c r="B904" s="9" t="s">
        <v>221</v>
      </c>
      <c r="C904" s="137" t="s">
        <v>222</v>
      </c>
      <c r="D904" s="152"/>
      <c r="E904" s="152"/>
      <c r="F904" s="152"/>
      <c r="G904" s="152"/>
      <c r="H904" s="152"/>
      <c r="I904" s="138"/>
      <c r="J904" s="8"/>
    </row>
    <row r="905" spans="1:11" s="1" customFormat="1" ht="25.5" customHeight="1" x14ac:dyDescent="0.2">
      <c r="A905" s="8"/>
      <c r="B905" s="9" t="s">
        <v>223</v>
      </c>
      <c r="C905" s="137" t="s">
        <v>224</v>
      </c>
      <c r="D905" s="152"/>
      <c r="E905" s="152"/>
      <c r="F905" s="152"/>
      <c r="G905" s="152"/>
      <c r="H905" s="152"/>
      <c r="I905" s="138"/>
      <c r="J905" s="8"/>
    </row>
    <row r="906" spans="1:11" s="1" customFormat="1" ht="25.5" customHeight="1" x14ac:dyDescent="0.2">
      <c r="A906" s="8"/>
      <c r="B906" s="9" t="s">
        <v>225</v>
      </c>
      <c r="C906" s="137" t="s">
        <v>226</v>
      </c>
      <c r="D906" s="138"/>
      <c r="E906" s="8"/>
      <c r="F906" s="8"/>
      <c r="G906" s="8"/>
      <c r="H906" s="8"/>
      <c r="I906" s="8"/>
      <c r="J906" s="8"/>
    </row>
    <row r="907" spans="1:11" s="1" customFormat="1" ht="25.5" customHeight="1" x14ac:dyDescent="0.2">
      <c r="A907" s="10">
        <v>87775</v>
      </c>
      <c r="B907" s="11" t="s">
        <v>227</v>
      </c>
      <c r="C907" s="139" t="s">
        <v>228</v>
      </c>
      <c r="D907" s="140"/>
      <c r="E907" s="11" t="s">
        <v>14</v>
      </c>
      <c r="F907" s="12">
        <v>239.8</v>
      </c>
      <c r="G907" s="12">
        <v>37.78</v>
      </c>
      <c r="H907" s="12">
        <v>48.21</v>
      </c>
      <c r="I907" s="13">
        <f>F907*G907</f>
        <v>9059.6440000000002</v>
      </c>
      <c r="J907" s="13">
        <f>F907*H907</f>
        <v>11560.758000000002</v>
      </c>
    </row>
    <row r="908" spans="1:11" s="1" customFormat="1" ht="25.5" customHeight="1" x14ac:dyDescent="0.2">
      <c r="A908" s="11" t="s">
        <v>229</v>
      </c>
      <c r="B908" s="11" t="s">
        <v>230</v>
      </c>
      <c r="C908" s="139" t="s">
        <v>231</v>
      </c>
      <c r="D908" s="140"/>
      <c r="E908" s="11" t="s">
        <v>14</v>
      </c>
      <c r="F908" s="12">
        <v>242.72</v>
      </c>
      <c r="G908" s="12">
        <v>21.63</v>
      </c>
      <c r="H908" s="12">
        <v>27.59</v>
      </c>
      <c r="I908" s="13">
        <f>F908*G908</f>
        <v>5250.0335999999998</v>
      </c>
      <c r="J908" s="13">
        <f>F908*H908</f>
        <v>6696.6448</v>
      </c>
    </row>
    <row r="909" spans="1:11" s="1" customFormat="1" ht="25.5" customHeight="1" x14ac:dyDescent="0.2">
      <c r="A909" s="10">
        <v>87265</v>
      </c>
      <c r="B909" s="11" t="s">
        <v>232</v>
      </c>
      <c r="C909" s="139" t="s">
        <v>233</v>
      </c>
      <c r="D909" s="140"/>
      <c r="E909" s="11" t="s">
        <v>14</v>
      </c>
      <c r="F909" s="12">
        <v>959.21</v>
      </c>
      <c r="G909" s="12">
        <v>31.09</v>
      </c>
      <c r="H909" s="12">
        <v>39.659999999999997</v>
      </c>
      <c r="I909" s="13">
        <f>F909*G909</f>
        <v>29821.838900000002</v>
      </c>
      <c r="J909" s="13">
        <f>F909*H909</f>
        <v>38042.268599999996</v>
      </c>
    </row>
    <row r="910" spans="1:11" s="1" customFormat="1" ht="25.5" customHeight="1" x14ac:dyDescent="0.2">
      <c r="A910" s="8"/>
      <c r="B910" s="9" t="s">
        <v>234</v>
      </c>
      <c r="C910" s="137" t="s">
        <v>235</v>
      </c>
      <c r="D910" s="138"/>
      <c r="E910" s="8"/>
      <c r="F910" s="8"/>
      <c r="G910" s="8"/>
      <c r="H910" s="8"/>
      <c r="I910" s="8"/>
      <c r="J910" s="8"/>
    </row>
    <row r="911" spans="1:11" s="1" customFormat="1" ht="25.5" customHeight="1" x14ac:dyDescent="0.2">
      <c r="A911" s="11" t="s">
        <v>236</v>
      </c>
      <c r="B911" s="11" t="s">
        <v>237</v>
      </c>
      <c r="C911" s="139" t="s">
        <v>231</v>
      </c>
      <c r="D911" s="140"/>
      <c r="E911" s="11" t="s">
        <v>14</v>
      </c>
      <c r="F911" s="12">
        <v>724.74</v>
      </c>
      <c r="G911" s="12">
        <v>22.03</v>
      </c>
      <c r="H911" s="12">
        <v>28.11</v>
      </c>
      <c r="I911" s="13">
        <f>F911*G911</f>
        <v>15966.022200000001</v>
      </c>
      <c r="J911" s="13">
        <f>F911*H911</f>
        <v>20372.4414</v>
      </c>
    </row>
    <row r="912" spans="1:11" s="1" customFormat="1" ht="25.5" customHeight="1" x14ac:dyDescent="0.2">
      <c r="A912" s="8"/>
      <c r="B912" s="149" t="s">
        <v>238</v>
      </c>
      <c r="C912" s="150"/>
      <c r="D912" s="150"/>
      <c r="E912" s="150"/>
      <c r="F912" s="150"/>
      <c r="G912" s="151"/>
      <c r="H912" s="8"/>
      <c r="I912" s="18">
        <f>SUM(I907:I911)</f>
        <v>60097.538699999997</v>
      </c>
      <c r="J912" s="18">
        <f>SUM(J907:J911)</f>
        <v>76672.112800000003</v>
      </c>
    </row>
    <row r="913" spans="1:10" s="1" customFormat="1" ht="25.5" customHeight="1" x14ac:dyDescent="0.2">
      <c r="A913" s="8"/>
      <c r="B913" s="9" t="s">
        <v>239</v>
      </c>
      <c r="C913" s="137" t="s">
        <v>240</v>
      </c>
      <c r="D913" s="152"/>
      <c r="E913" s="152"/>
      <c r="F913" s="152"/>
      <c r="G913" s="152"/>
      <c r="H913" s="152"/>
      <c r="I913" s="138"/>
      <c r="J913" s="8"/>
    </row>
    <row r="914" spans="1:10" s="1" customFormat="1" ht="25.5" customHeight="1" x14ac:dyDescent="0.2">
      <c r="A914" s="8"/>
      <c r="B914" s="9" t="s">
        <v>241</v>
      </c>
      <c r="C914" s="137" t="s">
        <v>242</v>
      </c>
      <c r="D914" s="138"/>
      <c r="E914" s="8"/>
      <c r="F914" s="8"/>
      <c r="G914" s="8"/>
      <c r="H914" s="8"/>
      <c r="I914" s="8"/>
      <c r="J914" s="8"/>
    </row>
    <row r="915" spans="1:10" s="1" customFormat="1" ht="25.5" customHeight="1" x14ac:dyDescent="0.2">
      <c r="A915" s="10">
        <v>87905</v>
      </c>
      <c r="B915" s="11" t="s">
        <v>243</v>
      </c>
      <c r="C915" s="139" t="s">
        <v>244</v>
      </c>
      <c r="D915" s="140"/>
      <c r="E915" s="11" t="s">
        <v>14</v>
      </c>
      <c r="F915" s="12">
        <v>414.73</v>
      </c>
      <c r="G915" s="12">
        <v>5.81</v>
      </c>
      <c r="H915" s="12">
        <v>7.41</v>
      </c>
      <c r="I915" s="13">
        <f>F915*G915</f>
        <v>2409.5812999999998</v>
      </c>
      <c r="J915" s="13">
        <f>F915*H915</f>
        <v>3073.1493</v>
      </c>
    </row>
    <row r="916" spans="1:10" s="1" customFormat="1" ht="25.5" customHeight="1" x14ac:dyDescent="0.2">
      <c r="A916" s="10">
        <v>87775</v>
      </c>
      <c r="B916" s="11" t="s">
        <v>245</v>
      </c>
      <c r="C916" s="139" t="s">
        <v>228</v>
      </c>
      <c r="D916" s="140"/>
      <c r="E916" s="11" t="s">
        <v>14</v>
      </c>
      <c r="F916" s="12">
        <v>184.11</v>
      </c>
      <c r="G916" s="12">
        <v>37.78</v>
      </c>
      <c r="H916" s="12">
        <v>48.21</v>
      </c>
      <c r="I916" s="13">
        <f>F916*G916</f>
        <v>6955.6758000000009</v>
      </c>
      <c r="J916" s="13">
        <f>F916*H916</f>
        <v>8875.9431000000004</v>
      </c>
    </row>
    <row r="917" spans="1:10" s="1" customFormat="1" ht="25.5" customHeight="1" x14ac:dyDescent="0.2">
      <c r="A917" s="11" t="s">
        <v>229</v>
      </c>
      <c r="B917" s="11" t="s">
        <v>246</v>
      </c>
      <c r="C917" s="139" t="s">
        <v>231</v>
      </c>
      <c r="D917" s="140"/>
      <c r="E917" s="11" t="s">
        <v>14</v>
      </c>
      <c r="F917" s="12">
        <v>230.62</v>
      </c>
      <c r="G917" s="12">
        <v>21.63</v>
      </c>
      <c r="H917" s="12">
        <v>27.59</v>
      </c>
      <c r="I917" s="13">
        <f>F917*G917</f>
        <v>4988.3105999999998</v>
      </c>
      <c r="J917" s="13">
        <f>F917*H917</f>
        <v>6362.8058000000001</v>
      </c>
    </row>
    <row r="918" spans="1:10" s="1" customFormat="1" ht="25.5" customHeight="1" x14ac:dyDescent="0.2">
      <c r="A918" s="11" t="s">
        <v>247</v>
      </c>
      <c r="B918" s="11" t="s">
        <v>248</v>
      </c>
      <c r="C918" s="139" t="s">
        <v>249</v>
      </c>
      <c r="D918" s="140"/>
      <c r="E918" s="11" t="s">
        <v>14</v>
      </c>
      <c r="F918" s="12">
        <v>460.27</v>
      </c>
      <c r="G918" s="12">
        <v>38.770000000000003</v>
      </c>
      <c r="H918" s="12">
        <v>49.47</v>
      </c>
      <c r="I918" s="13">
        <f>F918*G918</f>
        <v>17844.6679</v>
      </c>
      <c r="J918" s="13">
        <f>F918*H918</f>
        <v>22769.5569</v>
      </c>
    </row>
    <row r="919" spans="1:10" s="1" customFormat="1" ht="25.5" customHeight="1" x14ac:dyDescent="0.2">
      <c r="A919" s="8"/>
      <c r="B919" s="149" t="s">
        <v>250</v>
      </c>
      <c r="C919" s="150"/>
      <c r="D919" s="150"/>
      <c r="E919" s="150"/>
      <c r="F919" s="150"/>
      <c r="G919" s="151"/>
      <c r="H919" s="8"/>
      <c r="I919" s="18">
        <f>SUM(I915:I918)</f>
        <v>32198.2356</v>
      </c>
      <c r="J919" s="18">
        <f>SUM(J915:J918)</f>
        <v>41081.455100000006</v>
      </c>
    </row>
    <row r="920" spans="1:10" s="1" customFormat="1" ht="25.5" customHeight="1" x14ac:dyDescent="0.2">
      <c r="A920" s="8"/>
      <c r="B920" s="149" t="s">
        <v>251</v>
      </c>
      <c r="C920" s="150"/>
      <c r="D920" s="150"/>
      <c r="E920" s="150"/>
      <c r="F920" s="150"/>
      <c r="G920" s="151"/>
      <c r="H920" s="8"/>
      <c r="I920" s="14">
        <f>SUM(I912,I919)-4.08</f>
        <v>92291.694299999988</v>
      </c>
      <c r="J920" s="15">
        <f>SUM(J919,J912)+1.4</f>
        <v>117754.9679</v>
      </c>
    </row>
    <row r="921" spans="1:10" s="1" customFormat="1" ht="25.5" customHeight="1" x14ac:dyDescent="0.2">
      <c r="A921" s="8"/>
      <c r="B921" s="9" t="s">
        <v>252</v>
      </c>
      <c r="C921" s="137" t="s">
        <v>253</v>
      </c>
      <c r="D921" s="152"/>
      <c r="E921" s="152"/>
      <c r="F921" s="152"/>
      <c r="G921" s="152"/>
      <c r="H921" s="152"/>
      <c r="I921" s="138"/>
      <c r="J921" s="8"/>
    </row>
    <row r="922" spans="1:10" s="1" customFormat="1" ht="25.5" customHeight="1" x14ac:dyDescent="0.2">
      <c r="A922" s="10">
        <v>98572</v>
      </c>
      <c r="B922" s="11" t="s">
        <v>254</v>
      </c>
      <c r="C922" s="139" t="s">
        <v>255</v>
      </c>
      <c r="D922" s="140"/>
      <c r="E922" s="11" t="s">
        <v>14</v>
      </c>
      <c r="F922" s="13">
        <v>1707</v>
      </c>
      <c r="G922" s="12">
        <v>29.86</v>
      </c>
      <c r="H922" s="12">
        <v>38.1</v>
      </c>
      <c r="I922" s="13">
        <f t="shared" ref="I922:I928" si="78">F922*G922</f>
        <v>50971.02</v>
      </c>
      <c r="J922" s="13">
        <f t="shared" ref="J922:J928" si="79">F922*H922</f>
        <v>65036.700000000004</v>
      </c>
    </row>
    <row r="923" spans="1:10" s="1" customFormat="1" ht="25.5" customHeight="1" x14ac:dyDescent="0.2">
      <c r="A923" s="10">
        <v>98560</v>
      </c>
      <c r="B923" s="11" t="s">
        <v>256</v>
      </c>
      <c r="C923" s="139" t="s">
        <v>257</v>
      </c>
      <c r="D923" s="140"/>
      <c r="E923" s="11" t="s">
        <v>14</v>
      </c>
      <c r="F923" s="13">
        <v>1304.0999999999999</v>
      </c>
      <c r="G923" s="12">
        <v>32.090000000000003</v>
      </c>
      <c r="H923" s="12">
        <v>40.94</v>
      </c>
      <c r="I923" s="13">
        <f t="shared" si="78"/>
        <v>41848.569000000003</v>
      </c>
      <c r="J923" s="13">
        <f t="shared" si="79"/>
        <v>53389.853999999992</v>
      </c>
    </row>
    <row r="924" spans="1:10" s="1" customFormat="1" ht="25.5" customHeight="1" x14ac:dyDescent="0.2">
      <c r="A924" s="10">
        <v>92391</v>
      </c>
      <c r="B924" s="11" t="s">
        <v>258</v>
      </c>
      <c r="C924" s="139" t="s">
        <v>259</v>
      </c>
      <c r="D924" s="140"/>
      <c r="E924" s="11" t="s">
        <v>14</v>
      </c>
      <c r="F924" s="12">
        <v>224</v>
      </c>
      <c r="G924" s="12">
        <v>46.88</v>
      </c>
      <c r="H924" s="12">
        <v>59.82</v>
      </c>
      <c r="I924" s="13">
        <f t="shared" si="78"/>
        <v>10501.12</v>
      </c>
      <c r="J924" s="13">
        <f t="shared" si="79"/>
        <v>13399.68</v>
      </c>
    </row>
    <row r="925" spans="1:10" s="1" customFormat="1" ht="25.5" customHeight="1" x14ac:dyDescent="0.2">
      <c r="A925" s="11" t="s">
        <v>260</v>
      </c>
      <c r="B925" s="11" t="s">
        <v>261</v>
      </c>
      <c r="C925" s="139" t="s">
        <v>262</v>
      </c>
      <c r="D925" s="140"/>
      <c r="E925" s="11" t="s">
        <v>14</v>
      </c>
      <c r="F925" s="12">
        <v>36</v>
      </c>
      <c r="G925" s="12">
        <v>31.2</v>
      </c>
      <c r="H925" s="12">
        <v>39.81</v>
      </c>
      <c r="I925" s="13">
        <f t="shared" si="78"/>
        <v>1123.2</v>
      </c>
      <c r="J925" s="13">
        <f t="shared" si="79"/>
        <v>1433.16</v>
      </c>
    </row>
    <row r="926" spans="1:10" s="1" customFormat="1" ht="25.5" customHeight="1" x14ac:dyDescent="0.2">
      <c r="A926" s="10">
        <v>88477</v>
      </c>
      <c r="B926" s="11" t="s">
        <v>265</v>
      </c>
      <c r="C926" s="139" t="s">
        <v>264</v>
      </c>
      <c r="D926" s="140"/>
      <c r="E926" s="11" t="s">
        <v>14</v>
      </c>
      <c r="F926" s="12">
        <v>470</v>
      </c>
      <c r="G926" s="12">
        <v>19.170000000000002</v>
      </c>
      <c r="H926" s="12">
        <v>24.46</v>
      </c>
      <c r="I926" s="13">
        <f t="shared" si="78"/>
        <v>9009.9000000000015</v>
      </c>
      <c r="J926" s="13">
        <f t="shared" si="79"/>
        <v>11496.2</v>
      </c>
    </row>
    <row r="927" spans="1:10" s="1" customFormat="1" ht="25.5" customHeight="1" x14ac:dyDescent="0.2">
      <c r="A927" s="10">
        <v>84191</v>
      </c>
      <c r="B927" s="11" t="s">
        <v>268</v>
      </c>
      <c r="C927" s="139" t="s">
        <v>266</v>
      </c>
      <c r="D927" s="140"/>
      <c r="E927" s="11" t="s">
        <v>14</v>
      </c>
      <c r="F927" s="12">
        <v>885</v>
      </c>
      <c r="G927" s="12">
        <v>98.11</v>
      </c>
      <c r="H927" s="12">
        <v>125.18</v>
      </c>
      <c r="I927" s="13">
        <f t="shared" si="78"/>
        <v>86827.35</v>
      </c>
      <c r="J927" s="13">
        <f t="shared" si="79"/>
        <v>110784.3</v>
      </c>
    </row>
    <row r="928" spans="1:10" s="1" customFormat="1" ht="25.5" customHeight="1" x14ac:dyDescent="0.2">
      <c r="A928" s="11" t="s">
        <v>267</v>
      </c>
      <c r="B928" s="11" t="s">
        <v>1268</v>
      </c>
      <c r="C928" s="139" t="s">
        <v>269</v>
      </c>
      <c r="D928" s="140"/>
      <c r="E928" s="11" t="s">
        <v>81</v>
      </c>
      <c r="F928" s="12">
        <v>77</v>
      </c>
      <c r="G928" s="12">
        <v>174.65</v>
      </c>
      <c r="H928" s="12">
        <v>222.84</v>
      </c>
      <c r="I928" s="13">
        <f t="shared" si="78"/>
        <v>13448.050000000001</v>
      </c>
      <c r="J928" s="13">
        <f t="shared" si="79"/>
        <v>17158.68</v>
      </c>
    </row>
    <row r="929" spans="1:11" s="1" customFormat="1" ht="25.5" customHeight="1" x14ac:dyDescent="0.2">
      <c r="A929" s="8"/>
      <c r="B929" s="149" t="s">
        <v>270</v>
      </c>
      <c r="C929" s="150"/>
      <c r="D929" s="150"/>
      <c r="E929" s="150"/>
      <c r="F929" s="150"/>
      <c r="G929" s="151"/>
      <c r="H929" s="8"/>
      <c r="I929" s="14">
        <f>SUM(I922:I928)-3.35</f>
        <v>213725.859</v>
      </c>
      <c r="J929" s="15">
        <f>SUM(J922:J928)-5.75</f>
        <v>272692.82400000002</v>
      </c>
      <c r="K929" s="49"/>
    </row>
    <row r="930" spans="1:11" s="1" customFormat="1" ht="25.5" customHeight="1" x14ac:dyDescent="0.2">
      <c r="A930" s="8"/>
      <c r="B930" s="9" t="s">
        <v>271</v>
      </c>
      <c r="C930" s="137" t="s">
        <v>272</v>
      </c>
      <c r="D930" s="152"/>
      <c r="E930" s="152"/>
      <c r="F930" s="152"/>
      <c r="G930" s="152"/>
      <c r="H930" s="152"/>
      <c r="I930" s="138"/>
      <c r="J930" s="8"/>
    </row>
    <row r="931" spans="1:11" s="1" customFormat="1" ht="25.5" customHeight="1" x14ac:dyDescent="0.2">
      <c r="A931" s="11" t="s">
        <v>273</v>
      </c>
      <c r="B931" s="11" t="s">
        <v>274</v>
      </c>
      <c r="C931" s="139" t="s">
        <v>275</v>
      </c>
      <c r="D931" s="140"/>
      <c r="E931" s="11" t="s">
        <v>81</v>
      </c>
      <c r="F931" s="12">
        <v>32.799999999999997</v>
      </c>
      <c r="G931" s="12">
        <v>33.909999999999997</v>
      </c>
      <c r="H931" s="12">
        <v>43.27</v>
      </c>
      <c r="I931" s="13">
        <f>F931*G931</f>
        <v>1112.2479999999998</v>
      </c>
      <c r="J931" s="13">
        <f>F931*H931</f>
        <v>1419.2560000000001</v>
      </c>
    </row>
    <row r="932" spans="1:11" s="1" customFormat="1" ht="25.5" customHeight="1" x14ac:dyDescent="0.2">
      <c r="A932" s="10">
        <v>96467</v>
      </c>
      <c r="B932" s="11" t="s">
        <v>276</v>
      </c>
      <c r="C932" s="139" t="s">
        <v>277</v>
      </c>
      <c r="D932" s="140"/>
      <c r="E932" s="11" t="s">
        <v>81</v>
      </c>
      <c r="F932" s="12">
        <v>648</v>
      </c>
      <c r="G932" s="12">
        <v>4.1100000000000003</v>
      </c>
      <c r="H932" s="12">
        <v>5.25</v>
      </c>
      <c r="I932" s="13">
        <f>F932*G932</f>
        <v>2663.28</v>
      </c>
      <c r="J932" s="13">
        <f>F932*H932</f>
        <v>3402</v>
      </c>
    </row>
    <row r="933" spans="1:11" s="1" customFormat="1" ht="25.5" customHeight="1" x14ac:dyDescent="0.2">
      <c r="A933" s="11" t="s">
        <v>78</v>
      </c>
      <c r="B933" s="11" t="s">
        <v>278</v>
      </c>
      <c r="C933" s="139" t="s">
        <v>279</v>
      </c>
      <c r="D933" s="140"/>
      <c r="E933" s="11" t="s">
        <v>81</v>
      </c>
      <c r="F933" s="12">
        <v>100</v>
      </c>
      <c r="G933" s="12">
        <v>9.81</v>
      </c>
      <c r="H933" s="12">
        <v>12.52</v>
      </c>
      <c r="I933" s="13">
        <f>F933*G933</f>
        <v>981</v>
      </c>
      <c r="J933" s="13">
        <f>F933*H933</f>
        <v>1252</v>
      </c>
    </row>
    <row r="934" spans="1:11" s="1" customFormat="1" ht="25.5" customHeight="1" x14ac:dyDescent="0.2">
      <c r="A934" s="11" t="s">
        <v>280</v>
      </c>
      <c r="B934" s="11" t="s">
        <v>281</v>
      </c>
      <c r="C934" s="139" t="s">
        <v>282</v>
      </c>
      <c r="D934" s="140"/>
      <c r="E934" s="11" t="s">
        <v>81</v>
      </c>
      <c r="F934" s="12">
        <v>548</v>
      </c>
      <c r="G934" s="12">
        <v>12.72</v>
      </c>
      <c r="H934" s="12">
        <v>16.23</v>
      </c>
      <c r="I934" s="13">
        <f>F934*G934</f>
        <v>6970.56</v>
      </c>
      <c r="J934" s="13">
        <f>F934*H934</f>
        <v>8894.0400000000009</v>
      </c>
    </row>
    <row r="935" spans="1:11" s="1" customFormat="1" ht="25.5" customHeight="1" x14ac:dyDescent="0.2">
      <c r="A935" s="8"/>
      <c r="B935" s="149" t="s">
        <v>283</v>
      </c>
      <c r="C935" s="150"/>
      <c r="D935" s="150"/>
      <c r="E935" s="150"/>
      <c r="F935" s="150"/>
      <c r="G935" s="151"/>
      <c r="H935" s="8"/>
      <c r="I935" s="14">
        <f>SUM(I931:I934)+0.36</f>
        <v>11727.448</v>
      </c>
      <c r="J935" s="15">
        <f>SUM(J931:J934)-4.24</f>
        <v>14963.056000000002</v>
      </c>
      <c r="K935" s="49"/>
    </row>
    <row r="936" spans="1:11" s="1" customFormat="1" ht="25.5" customHeight="1" x14ac:dyDescent="0.2">
      <c r="A936" s="8"/>
      <c r="B936" s="9" t="s">
        <v>284</v>
      </c>
      <c r="C936" s="137" t="s">
        <v>285</v>
      </c>
      <c r="D936" s="152"/>
      <c r="E936" s="152"/>
      <c r="F936" s="152"/>
      <c r="G936" s="152"/>
      <c r="H936" s="152"/>
      <c r="I936" s="138"/>
      <c r="J936" s="8"/>
    </row>
    <row r="937" spans="1:11" s="1" customFormat="1" ht="25.5" customHeight="1" x14ac:dyDescent="0.2">
      <c r="A937" s="8"/>
      <c r="B937" s="20">
        <v>12.1</v>
      </c>
      <c r="C937" s="137" t="s">
        <v>286</v>
      </c>
      <c r="D937" s="138"/>
      <c r="E937" s="8"/>
      <c r="F937" s="8"/>
      <c r="G937" s="8"/>
      <c r="H937" s="8"/>
      <c r="I937" s="8"/>
      <c r="J937" s="8"/>
    </row>
    <row r="938" spans="1:11" s="1" customFormat="1" ht="25.5" customHeight="1" x14ac:dyDescent="0.2">
      <c r="A938" s="10">
        <v>88489</v>
      </c>
      <c r="B938" s="21">
        <v>40909</v>
      </c>
      <c r="C938" s="139" t="s">
        <v>287</v>
      </c>
      <c r="D938" s="140"/>
      <c r="E938" s="11" t="s">
        <v>14</v>
      </c>
      <c r="F938" s="12">
        <v>638.78</v>
      </c>
      <c r="G938" s="12">
        <v>8.41</v>
      </c>
      <c r="H938" s="12">
        <v>10.73</v>
      </c>
      <c r="I938" s="13">
        <f>F938*G938</f>
        <v>5372.1397999999999</v>
      </c>
      <c r="J938" s="13">
        <f>F938*H938</f>
        <v>6854.1094000000003</v>
      </c>
    </row>
    <row r="939" spans="1:11" s="1" customFormat="1" ht="25.5" customHeight="1" x14ac:dyDescent="0.2">
      <c r="A939" s="10">
        <v>88497</v>
      </c>
      <c r="B939" s="21">
        <v>40910</v>
      </c>
      <c r="C939" s="139" t="s">
        <v>288</v>
      </c>
      <c r="D939" s="140"/>
      <c r="E939" s="11" t="s">
        <v>14</v>
      </c>
      <c r="F939" s="12">
        <v>638.78</v>
      </c>
      <c r="G939" s="12">
        <v>9.49</v>
      </c>
      <c r="H939" s="12">
        <v>12.1</v>
      </c>
      <c r="I939" s="13">
        <f>F939*G939</f>
        <v>6062.0221999999994</v>
      </c>
      <c r="J939" s="13">
        <f>F939*H939</f>
        <v>7729.2379999999994</v>
      </c>
    </row>
    <row r="940" spans="1:11" s="1" customFormat="1" ht="25.5" customHeight="1" x14ac:dyDescent="0.2">
      <c r="A940" s="10">
        <v>88487</v>
      </c>
      <c r="B940" s="21">
        <v>40911</v>
      </c>
      <c r="C940" s="139" t="s">
        <v>289</v>
      </c>
      <c r="D940" s="140"/>
      <c r="E940" s="11" t="s">
        <v>14</v>
      </c>
      <c r="F940" s="12">
        <v>77.3</v>
      </c>
      <c r="G940" s="12">
        <v>6.56</v>
      </c>
      <c r="H940" s="12">
        <v>8.3699999999999992</v>
      </c>
      <c r="I940" s="13">
        <f>F940*G940</f>
        <v>507.08799999999997</v>
      </c>
      <c r="J940" s="13">
        <f>F940*H940</f>
        <v>647.00099999999986</v>
      </c>
    </row>
    <row r="941" spans="1:11" s="1" customFormat="1" ht="25.5" customHeight="1" x14ac:dyDescent="0.2">
      <c r="A941" s="8"/>
      <c r="B941" s="9" t="s">
        <v>290</v>
      </c>
      <c r="C941" s="137" t="s">
        <v>291</v>
      </c>
      <c r="D941" s="152"/>
      <c r="E941" s="152"/>
      <c r="F941" s="152"/>
      <c r="G941" s="138"/>
      <c r="H941" s="8"/>
      <c r="I941" s="8"/>
      <c r="J941" s="8"/>
    </row>
    <row r="942" spans="1:11" s="1" customFormat="1" ht="25.5" customHeight="1" x14ac:dyDescent="0.2">
      <c r="A942" s="10">
        <v>88489</v>
      </c>
      <c r="B942" s="21">
        <v>40940</v>
      </c>
      <c r="C942" s="139" t="s">
        <v>287</v>
      </c>
      <c r="D942" s="140"/>
      <c r="E942" s="11" t="s">
        <v>14</v>
      </c>
      <c r="F942" s="12">
        <v>606.17999999999995</v>
      </c>
      <c r="G942" s="12">
        <v>8.41</v>
      </c>
      <c r="H942" s="12">
        <v>10.73</v>
      </c>
      <c r="I942" s="13">
        <f>F942*G942</f>
        <v>5097.9737999999998</v>
      </c>
      <c r="J942" s="13">
        <f>F942*H942</f>
        <v>6504.3113999999996</v>
      </c>
    </row>
    <row r="943" spans="1:11" s="1" customFormat="1" ht="25.5" customHeight="1" x14ac:dyDescent="0.2">
      <c r="A943" s="8"/>
      <c r="B943" s="9" t="s">
        <v>292</v>
      </c>
      <c r="C943" s="137" t="s">
        <v>235</v>
      </c>
      <c r="D943" s="152"/>
      <c r="E943" s="152"/>
      <c r="F943" s="152"/>
      <c r="G943" s="138"/>
      <c r="H943" s="8"/>
      <c r="I943" s="8"/>
      <c r="J943" s="8"/>
    </row>
    <row r="944" spans="1:11" s="1" customFormat="1" ht="25.5" customHeight="1" x14ac:dyDescent="0.2">
      <c r="A944" s="10">
        <v>88487</v>
      </c>
      <c r="B944" s="11" t="s">
        <v>293</v>
      </c>
      <c r="C944" s="139" t="s">
        <v>289</v>
      </c>
      <c r="D944" s="140"/>
      <c r="E944" s="11" t="s">
        <v>14</v>
      </c>
      <c r="F944" s="12">
        <v>732.68</v>
      </c>
      <c r="G944" s="12">
        <v>6.56</v>
      </c>
      <c r="H944" s="12">
        <v>8.3699999999999992</v>
      </c>
      <c r="I944" s="13">
        <f>F944*G944</f>
        <v>4806.380799999999</v>
      </c>
      <c r="J944" s="13">
        <f>F944*H944</f>
        <v>6132.5315999999993</v>
      </c>
    </row>
    <row r="945" spans="1:10" s="1" customFormat="1" ht="25.5" customHeight="1" x14ac:dyDescent="0.2">
      <c r="A945" s="10">
        <v>88497</v>
      </c>
      <c r="B945" s="11" t="s">
        <v>294</v>
      </c>
      <c r="C945" s="139" t="s">
        <v>288</v>
      </c>
      <c r="D945" s="140"/>
      <c r="E945" s="11" t="s">
        <v>14</v>
      </c>
      <c r="F945" s="12">
        <v>732.68</v>
      </c>
      <c r="G945" s="12">
        <v>9.49</v>
      </c>
      <c r="H945" s="12">
        <v>12.1</v>
      </c>
      <c r="I945" s="13">
        <f>F945*G945</f>
        <v>6953.1331999999993</v>
      </c>
      <c r="J945" s="13">
        <f>F945*H945</f>
        <v>8865.4279999999999</v>
      </c>
    </row>
    <row r="946" spans="1:10" s="1" customFormat="1" ht="25.5" customHeight="1" x14ac:dyDescent="0.2">
      <c r="A946" s="8"/>
      <c r="B946" s="9" t="s">
        <v>295</v>
      </c>
      <c r="C946" s="137" t="s">
        <v>296</v>
      </c>
      <c r="D946" s="152"/>
      <c r="E946" s="152"/>
      <c r="F946" s="152"/>
      <c r="G946" s="138"/>
      <c r="H946" s="8"/>
      <c r="I946" s="8"/>
      <c r="J946" s="8"/>
    </row>
    <row r="947" spans="1:10" s="1" customFormat="1" ht="25.5" customHeight="1" x14ac:dyDescent="0.2">
      <c r="A947" s="11" t="s">
        <v>297</v>
      </c>
      <c r="B947" s="21">
        <v>41000</v>
      </c>
      <c r="C947" s="139" t="s">
        <v>298</v>
      </c>
      <c r="D947" s="140"/>
      <c r="E947" s="11" t="s">
        <v>14</v>
      </c>
      <c r="F947" s="12">
        <v>257.60000000000002</v>
      </c>
      <c r="G947" s="12">
        <v>13.87</v>
      </c>
      <c r="H947" s="12">
        <v>17.7</v>
      </c>
      <c r="I947" s="13">
        <f>F947*G947</f>
        <v>3572.9120000000003</v>
      </c>
      <c r="J947" s="13">
        <f>F947*H947</f>
        <v>4559.5200000000004</v>
      </c>
    </row>
    <row r="948" spans="1:10" s="1" customFormat="1" ht="25.5" customHeight="1" x14ac:dyDescent="0.2">
      <c r="A948" s="10">
        <v>40905</v>
      </c>
      <c r="B948" s="21">
        <v>41001</v>
      </c>
      <c r="C948" s="139" t="s">
        <v>299</v>
      </c>
      <c r="D948" s="140"/>
      <c r="E948" s="11" t="s">
        <v>14</v>
      </c>
      <c r="F948" s="12">
        <v>54.8</v>
      </c>
      <c r="G948" s="12">
        <v>16.510000000000002</v>
      </c>
      <c r="H948" s="12">
        <v>21.06</v>
      </c>
      <c r="I948" s="13">
        <f>F948*G948</f>
        <v>904.74800000000005</v>
      </c>
      <c r="J948" s="13">
        <f>F948*H948</f>
        <v>1154.088</v>
      </c>
    </row>
    <row r="949" spans="1:10" s="1" customFormat="1" ht="25.5" customHeight="1" x14ac:dyDescent="0.2">
      <c r="A949" s="11" t="s">
        <v>300</v>
      </c>
      <c r="B949" s="21">
        <v>41002</v>
      </c>
      <c r="C949" s="139" t="s">
        <v>301</v>
      </c>
      <c r="D949" s="140"/>
      <c r="E949" s="11" t="s">
        <v>14</v>
      </c>
      <c r="F949" s="12">
        <v>170.5</v>
      </c>
      <c r="G949" s="12">
        <v>20.6</v>
      </c>
      <c r="H949" s="12">
        <v>26.28</v>
      </c>
      <c r="I949" s="13">
        <f>F949*G949</f>
        <v>3512.3</v>
      </c>
      <c r="J949" s="13">
        <f>F949*H949</f>
        <v>4480.74</v>
      </c>
    </row>
    <row r="950" spans="1:10" s="1" customFormat="1" ht="25.5" customHeight="1" x14ac:dyDescent="0.2">
      <c r="A950" s="8"/>
      <c r="B950" s="158" t="s">
        <v>302</v>
      </c>
      <c r="C950" s="159"/>
      <c r="D950" s="159"/>
      <c r="E950" s="159"/>
      <c r="F950" s="159"/>
      <c r="G950" s="159"/>
      <c r="H950" s="160"/>
      <c r="I950" s="14">
        <f>SUM(I938:I949)</f>
        <v>36788.697800000002</v>
      </c>
      <c r="J950" s="15">
        <f>SUM(J938:J949)-1.02</f>
        <v>46925.947400000005</v>
      </c>
    </row>
    <row r="951" spans="1:10" s="1" customFormat="1" ht="25.5" customHeight="1" x14ac:dyDescent="0.2">
      <c r="A951" s="8"/>
      <c r="B951" s="9" t="s">
        <v>303</v>
      </c>
      <c r="C951" s="137" t="s">
        <v>304</v>
      </c>
      <c r="D951" s="152"/>
      <c r="E951" s="152"/>
      <c r="F951" s="152"/>
      <c r="G951" s="152"/>
      <c r="H951" s="152"/>
      <c r="I951" s="138"/>
      <c r="J951" s="8"/>
    </row>
    <row r="952" spans="1:10" s="1" customFormat="1" ht="25.5" customHeight="1" x14ac:dyDescent="0.2">
      <c r="A952" s="11" t="s">
        <v>305</v>
      </c>
      <c r="B952" s="11" t="s">
        <v>306</v>
      </c>
      <c r="C952" s="139" t="s">
        <v>307</v>
      </c>
      <c r="D952" s="140"/>
      <c r="E952" s="11" t="s">
        <v>14</v>
      </c>
      <c r="F952" s="12">
        <v>43.5</v>
      </c>
      <c r="G952" s="12">
        <v>224.11</v>
      </c>
      <c r="H952" s="12">
        <v>285.94</v>
      </c>
      <c r="I952" s="13">
        <f t="shared" ref="I952:I972" si="80">F952*G952</f>
        <v>9748.7849999999999</v>
      </c>
      <c r="J952" s="13">
        <f t="shared" ref="J952:J972" si="81">F952*H952</f>
        <v>12438.39</v>
      </c>
    </row>
    <row r="953" spans="1:10" s="1" customFormat="1" ht="25.5" customHeight="1" x14ac:dyDescent="0.2">
      <c r="A953" s="11" t="s">
        <v>308</v>
      </c>
      <c r="B953" s="11" t="s">
        <v>309</v>
      </c>
      <c r="C953" s="139" t="s">
        <v>310</v>
      </c>
      <c r="D953" s="140"/>
      <c r="E953" s="11" t="s">
        <v>14</v>
      </c>
      <c r="F953" s="12">
        <v>10.5</v>
      </c>
      <c r="G953" s="12">
        <v>312.5</v>
      </c>
      <c r="H953" s="12">
        <v>398.72</v>
      </c>
      <c r="I953" s="13">
        <f t="shared" si="80"/>
        <v>3281.25</v>
      </c>
      <c r="J953" s="13">
        <f t="shared" si="81"/>
        <v>4186.5600000000004</v>
      </c>
    </row>
    <row r="954" spans="1:10" s="1" customFormat="1" ht="25.5" customHeight="1" x14ac:dyDescent="0.2">
      <c r="A954" s="11" t="s">
        <v>78</v>
      </c>
      <c r="B954" s="11" t="s">
        <v>311</v>
      </c>
      <c r="C954" s="139" t="s">
        <v>312</v>
      </c>
      <c r="D954" s="140"/>
      <c r="E954" s="11" t="s">
        <v>14</v>
      </c>
      <c r="F954" s="12">
        <v>53</v>
      </c>
      <c r="G954" s="12">
        <v>323.14</v>
      </c>
      <c r="H954" s="12">
        <v>412.29</v>
      </c>
      <c r="I954" s="13">
        <f t="shared" si="80"/>
        <v>17126.419999999998</v>
      </c>
      <c r="J954" s="13">
        <f t="shared" si="81"/>
        <v>21851.370000000003</v>
      </c>
    </row>
    <row r="955" spans="1:10" s="1" customFormat="1" ht="25.5" customHeight="1" x14ac:dyDescent="0.2">
      <c r="A955" s="11" t="s">
        <v>305</v>
      </c>
      <c r="B955" s="11" t="s">
        <v>313</v>
      </c>
      <c r="C955" s="139" t="s">
        <v>314</v>
      </c>
      <c r="D955" s="140"/>
      <c r="E955" s="11" t="s">
        <v>14</v>
      </c>
      <c r="F955" s="12">
        <v>35.700000000000003</v>
      </c>
      <c r="G955" s="12">
        <v>224.11</v>
      </c>
      <c r="H955" s="12">
        <v>285.94</v>
      </c>
      <c r="I955" s="13">
        <f t="shared" si="80"/>
        <v>8000.7270000000008</v>
      </c>
      <c r="J955" s="13">
        <f t="shared" si="81"/>
        <v>10208.058000000001</v>
      </c>
    </row>
    <row r="956" spans="1:10" s="1" customFormat="1" ht="25.5" customHeight="1" x14ac:dyDescent="0.2">
      <c r="A956" s="10">
        <v>20231</v>
      </c>
      <c r="B956" s="11" t="s">
        <v>315</v>
      </c>
      <c r="C956" s="139" t="s">
        <v>316</v>
      </c>
      <c r="D956" s="140"/>
      <c r="E956" s="11" t="s">
        <v>81</v>
      </c>
      <c r="F956" s="12">
        <v>65.8</v>
      </c>
      <c r="G956" s="12">
        <v>33.93</v>
      </c>
      <c r="H956" s="12">
        <v>43.29</v>
      </c>
      <c r="I956" s="13">
        <f t="shared" si="80"/>
        <v>2232.5940000000001</v>
      </c>
      <c r="J956" s="13">
        <f t="shared" si="81"/>
        <v>2848.482</v>
      </c>
    </row>
    <row r="957" spans="1:10" s="1" customFormat="1" ht="25.5" customHeight="1" x14ac:dyDescent="0.2">
      <c r="A957" s="10">
        <v>20231</v>
      </c>
      <c r="B957" s="11" t="s">
        <v>317</v>
      </c>
      <c r="C957" s="139" t="s">
        <v>318</v>
      </c>
      <c r="D957" s="140"/>
      <c r="E957" s="11" t="s">
        <v>81</v>
      </c>
      <c r="F957" s="12">
        <v>99.5</v>
      </c>
      <c r="G957" s="12">
        <v>33.93</v>
      </c>
      <c r="H957" s="12">
        <v>43.29</v>
      </c>
      <c r="I957" s="13">
        <f t="shared" si="80"/>
        <v>3376.0349999999999</v>
      </c>
      <c r="J957" s="13">
        <f t="shared" si="81"/>
        <v>4307.3549999999996</v>
      </c>
    </row>
    <row r="958" spans="1:10" s="1" customFormat="1" ht="25.5" customHeight="1" x14ac:dyDescent="0.2">
      <c r="A958" s="10">
        <v>20231</v>
      </c>
      <c r="B958" s="11" t="s">
        <v>319</v>
      </c>
      <c r="C958" s="139" t="s">
        <v>320</v>
      </c>
      <c r="D958" s="140"/>
      <c r="E958" s="11" t="s">
        <v>81</v>
      </c>
      <c r="F958" s="12">
        <v>130.80000000000001</v>
      </c>
      <c r="G958" s="12">
        <v>33.93</v>
      </c>
      <c r="H958" s="12">
        <v>43.29</v>
      </c>
      <c r="I958" s="13">
        <f t="shared" si="80"/>
        <v>4438.0440000000008</v>
      </c>
      <c r="J958" s="13">
        <f t="shared" si="81"/>
        <v>5662.3320000000003</v>
      </c>
    </row>
    <row r="959" spans="1:10" s="1" customFormat="1" ht="25.5" customHeight="1" x14ac:dyDescent="0.2">
      <c r="A959" s="10">
        <v>20231</v>
      </c>
      <c r="B959" s="11" t="s">
        <v>321</v>
      </c>
      <c r="C959" s="139" t="s">
        <v>322</v>
      </c>
      <c r="D959" s="140"/>
      <c r="E959" s="11" t="s">
        <v>81</v>
      </c>
      <c r="F959" s="12">
        <v>90.4</v>
      </c>
      <c r="G959" s="12">
        <v>33.93</v>
      </c>
      <c r="H959" s="12">
        <v>43.29</v>
      </c>
      <c r="I959" s="13">
        <f t="shared" si="80"/>
        <v>3067.2720000000004</v>
      </c>
      <c r="J959" s="13">
        <f t="shared" si="81"/>
        <v>3913.4160000000002</v>
      </c>
    </row>
    <row r="960" spans="1:10" s="1" customFormat="1" ht="25.5" customHeight="1" x14ac:dyDescent="0.2">
      <c r="A960" s="10">
        <v>20231</v>
      </c>
      <c r="B960" s="11" t="s">
        <v>323</v>
      </c>
      <c r="C960" s="139" t="s">
        <v>324</v>
      </c>
      <c r="D960" s="140"/>
      <c r="E960" s="11" t="s">
        <v>81</v>
      </c>
      <c r="F960" s="12">
        <v>19.2</v>
      </c>
      <c r="G960" s="12">
        <v>33.93</v>
      </c>
      <c r="H960" s="12">
        <v>43.29</v>
      </c>
      <c r="I960" s="13">
        <f t="shared" si="80"/>
        <v>651.45600000000002</v>
      </c>
      <c r="J960" s="13">
        <f t="shared" si="81"/>
        <v>831.16800000000001</v>
      </c>
    </row>
    <row r="961" spans="1:11" s="1" customFormat="1" ht="25.5" customHeight="1" x14ac:dyDescent="0.2">
      <c r="A961" s="11" t="s">
        <v>308</v>
      </c>
      <c r="B961" s="11" t="s">
        <v>325</v>
      </c>
      <c r="C961" s="139" t="s">
        <v>326</v>
      </c>
      <c r="D961" s="140"/>
      <c r="E961" s="11" t="s">
        <v>102</v>
      </c>
      <c r="F961" s="12">
        <v>2</v>
      </c>
      <c r="G961" s="12">
        <v>58.84</v>
      </c>
      <c r="H961" s="12">
        <v>75.069999999999993</v>
      </c>
      <c r="I961" s="13">
        <f t="shared" si="80"/>
        <v>117.68</v>
      </c>
      <c r="J961" s="13">
        <f t="shared" si="81"/>
        <v>150.13999999999999</v>
      </c>
    </row>
    <row r="962" spans="1:11" s="1" customFormat="1" ht="25.5" customHeight="1" x14ac:dyDescent="0.2">
      <c r="A962" s="10">
        <v>84862</v>
      </c>
      <c r="B962" s="11" t="s">
        <v>327</v>
      </c>
      <c r="C962" s="139" t="s">
        <v>328</v>
      </c>
      <c r="D962" s="140"/>
      <c r="E962" s="11" t="s">
        <v>81</v>
      </c>
      <c r="F962" s="12">
        <v>10.9</v>
      </c>
      <c r="G962" s="12">
        <v>190.09</v>
      </c>
      <c r="H962" s="12">
        <v>242.53</v>
      </c>
      <c r="I962" s="13">
        <f t="shared" si="80"/>
        <v>2071.9810000000002</v>
      </c>
      <c r="J962" s="13">
        <f t="shared" si="81"/>
        <v>2643.5770000000002</v>
      </c>
    </row>
    <row r="963" spans="1:11" s="1" customFormat="1" ht="25.5" customHeight="1" x14ac:dyDescent="0.2">
      <c r="A963" s="11" t="s">
        <v>329</v>
      </c>
      <c r="B963" s="11" t="s">
        <v>330</v>
      </c>
      <c r="C963" s="139" t="s">
        <v>331</v>
      </c>
      <c r="D963" s="140"/>
      <c r="E963" s="11" t="s">
        <v>81</v>
      </c>
      <c r="F963" s="12">
        <v>11.79</v>
      </c>
      <c r="G963" s="12">
        <v>222.14</v>
      </c>
      <c r="H963" s="12">
        <v>283.43</v>
      </c>
      <c r="I963" s="13">
        <f t="shared" si="80"/>
        <v>2619.0305999999996</v>
      </c>
      <c r="J963" s="13">
        <f t="shared" si="81"/>
        <v>3341.6396999999997</v>
      </c>
    </row>
    <row r="964" spans="1:11" s="1" customFormat="1" ht="25.5" customHeight="1" x14ac:dyDescent="0.2">
      <c r="A964" s="11" t="s">
        <v>78</v>
      </c>
      <c r="B964" s="11" t="s">
        <v>332</v>
      </c>
      <c r="C964" s="139" t="s">
        <v>333</v>
      </c>
      <c r="D964" s="140"/>
      <c r="E964" s="11" t="s">
        <v>102</v>
      </c>
      <c r="F964" s="12">
        <v>1</v>
      </c>
      <c r="G964" s="12">
        <v>474.97</v>
      </c>
      <c r="H964" s="12">
        <v>606.01</v>
      </c>
      <c r="I964" s="13">
        <f t="shared" si="80"/>
        <v>474.97</v>
      </c>
      <c r="J964" s="13">
        <f t="shared" si="81"/>
        <v>606.01</v>
      </c>
    </row>
    <row r="965" spans="1:11" s="1" customFormat="1" ht="25.5" customHeight="1" x14ac:dyDescent="0.2">
      <c r="A965" s="11" t="s">
        <v>308</v>
      </c>
      <c r="B965" s="11" t="s">
        <v>334</v>
      </c>
      <c r="C965" s="139" t="s">
        <v>335</v>
      </c>
      <c r="D965" s="140"/>
      <c r="E965" s="11" t="s">
        <v>336</v>
      </c>
      <c r="F965" s="12">
        <v>2</v>
      </c>
      <c r="G965" s="12">
        <v>891.52</v>
      </c>
      <c r="H965" s="13">
        <v>1137.49</v>
      </c>
      <c r="I965" s="13">
        <f t="shared" si="80"/>
        <v>1783.04</v>
      </c>
      <c r="J965" s="13">
        <f t="shared" si="81"/>
        <v>2274.98</v>
      </c>
    </row>
    <row r="966" spans="1:11" s="1" customFormat="1" ht="25.5" customHeight="1" x14ac:dyDescent="0.2">
      <c r="A966" s="11" t="s">
        <v>308</v>
      </c>
      <c r="B966" s="11" t="s">
        <v>337</v>
      </c>
      <c r="C966" s="139" t="s">
        <v>338</v>
      </c>
      <c r="D966" s="140"/>
      <c r="E966" s="11" t="s">
        <v>102</v>
      </c>
      <c r="F966" s="12">
        <v>8</v>
      </c>
      <c r="G966" s="12">
        <v>179</v>
      </c>
      <c r="H966" s="12">
        <v>228.39</v>
      </c>
      <c r="I966" s="13">
        <f t="shared" si="80"/>
        <v>1432</v>
      </c>
      <c r="J966" s="13">
        <f t="shared" si="81"/>
        <v>1827.12</v>
      </c>
    </row>
    <row r="967" spans="1:11" s="1" customFormat="1" ht="25.5" customHeight="1" x14ac:dyDescent="0.2">
      <c r="A967" s="11" t="s">
        <v>308</v>
      </c>
      <c r="B967" s="11" t="s">
        <v>339</v>
      </c>
      <c r="C967" s="139" t="s">
        <v>340</v>
      </c>
      <c r="D967" s="140"/>
      <c r="E967" s="11" t="s">
        <v>336</v>
      </c>
      <c r="F967" s="12">
        <v>2</v>
      </c>
      <c r="G967" s="12">
        <v>144</v>
      </c>
      <c r="H967" s="12">
        <v>183.73</v>
      </c>
      <c r="I967" s="13">
        <f t="shared" si="80"/>
        <v>288</v>
      </c>
      <c r="J967" s="13">
        <f t="shared" si="81"/>
        <v>367.46</v>
      </c>
    </row>
    <row r="968" spans="1:11" s="1" customFormat="1" ht="25.5" customHeight="1" x14ac:dyDescent="0.2">
      <c r="A968" s="11" t="s">
        <v>78</v>
      </c>
      <c r="B968" s="11" t="s">
        <v>341</v>
      </c>
      <c r="C968" s="139" t="s">
        <v>342</v>
      </c>
      <c r="D968" s="140"/>
      <c r="E968" s="11" t="s">
        <v>81</v>
      </c>
      <c r="F968" s="12">
        <v>2.85</v>
      </c>
      <c r="G968" s="12">
        <v>201.25</v>
      </c>
      <c r="H968" s="12">
        <v>256.77</v>
      </c>
      <c r="I968" s="13">
        <f t="shared" si="80"/>
        <v>573.5625</v>
      </c>
      <c r="J968" s="13">
        <f t="shared" si="81"/>
        <v>731.79449999999997</v>
      </c>
    </row>
    <row r="969" spans="1:11" s="1" customFormat="1" ht="25.5" customHeight="1" x14ac:dyDescent="0.2">
      <c r="A969" s="11" t="s">
        <v>78</v>
      </c>
      <c r="B969" s="11" t="s">
        <v>343</v>
      </c>
      <c r="C969" s="139" t="s">
        <v>344</v>
      </c>
      <c r="D969" s="140"/>
      <c r="E969" s="11" t="s">
        <v>81</v>
      </c>
      <c r="F969" s="12">
        <v>9.1999999999999993</v>
      </c>
      <c r="G969" s="12">
        <v>356.72</v>
      </c>
      <c r="H969" s="12">
        <v>455.13</v>
      </c>
      <c r="I969" s="13">
        <f t="shared" si="80"/>
        <v>3281.8240000000001</v>
      </c>
      <c r="J969" s="13">
        <f t="shared" si="81"/>
        <v>4187.1959999999999</v>
      </c>
    </row>
    <row r="970" spans="1:11" s="1" customFormat="1" ht="25.5" customHeight="1" x14ac:dyDescent="0.2">
      <c r="A970" s="11" t="s">
        <v>345</v>
      </c>
      <c r="B970" s="11" t="s">
        <v>346</v>
      </c>
      <c r="C970" s="139" t="s">
        <v>347</v>
      </c>
      <c r="D970" s="140"/>
      <c r="E970" s="11" t="s">
        <v>102</v>
      </c>
      <c r="F970" s="12">
        <v>3</v>
      </c>
      <c r="G970" s="13">
        <v>2030.45</v>
      </c>
      <c r="H970" s="13">
        <v>2590.64</v>
      </c>
      <c r="I970" s="13">
        <f t="shared" si="80"/>
        <v>6091.35</v>
      </c>
      <c r="J970" s="13">
        <f t="shared" si="81"/>
        <v>7771.92</v>
      </c>
    </row>
    <row r="971" spans="1:11" s="1" customFormat="1" ht="25.5" customHeight="1" x14ac:dyDescent="0.2">
      <c r="A971" s="11" t="s">
        <v>308</v>
      </c>
      <c r="B971" s="11" t="s">
        <v>348</v>
      </c>
      <c r="C971" s="139" t="s">
        <v>349</v>
      </c>
      <c r="D971" s="140"/>
      <c r="E971" s="11" t="s">
        <v>102</v>
      </c>
      <c r="F971" s="12">
        <v>2</v>
      </c>
      <c r="G971" s="12">
        <v>415</v>
      </c>
      <c r="H971" s="12">
        <v>529.5</v>
      </c>
      <c r="I971" s="13">
        <f t="shared" si="80"/>
        <v>830</v>
      </c>
      <c r="J971" s="13">
        <f t="shared" si="81"/>
        <v>1059</v>
      </c>
    </row>
    <row r="972" spans="1:11" s="1" customFormat="1" ht="25.5" customHeight="1" x14ac:dyDescent="0.2">
      <c r="A972" s="11" t="s">
        <v>308</v>
      </c>
      <c r="B972" s="11" t="s">
        <v>350</v>
      </c>
      <c r="C972" s="139" t="s">
        <v>351</v>
      </c>
      <c r="D972" s="140"/>
      <c r="E972" s="11" t="s">
        <v>102</v>
      </c>
      <c r="F972" s="12">
        <v>1</v>
      </c>
      <c r="G972" s="12">
        <v>63.04</v>
      </c>
      <c r="H972" s="12">
        <v>80.430000000000007</v>
      </c>
      <c r="I972" s="13">
        <f t="shared" si="80"/>
        <v>63.04</v>
      </c>
      <c r="J972" s="13">
        <f t="shared" si="81"/>
        <v>80.430000000000007</v>
      </c>
    </row>
    <row r="973" spans="1:11" s="1" customFormat="1" ht="25.5" customHeight="1" x14ac:dyDescent="0.2">
      <c r="A973" s="8"/>
      <c r="B973" s="158" t="s">
        <v>352</v>
      </c>
      <c r="C973" s="159"/>
      <c r="D973" s="159"/>
      <c r="E973" s="159"/>
      <c r="F973" s="159"/>
      <c r="G973" s="159"/>
      <c r="H973" s="160"/>
      <c r="I973" s="14">
        <f>SUM(I952:I972)-0.39</f>
        <v>71548.671099999992</v>
      </c>
      <c r="J973" s="15">
        <f>SUM(J952:J972)+0.54</f>
        <v>91288.93819999999</v>
      </c>
      <c r="K973" s="49"/>
    </row>
    <row r="974" spans="1:11" s="1" customFormat="1" ht="25.5" customHeight="1" x14ac:dyDescent="0.2">
      <c r="A974" s="8"/>
      <c r="B974" s="9" t="s">
        <v>353</v>
      </c>
      <c r="C974" s="137" t="s">
        <v>354</v>
      </c>
      <c r="D974" s="138"/>
      <c r="E974" s="8"/>
      <c r="F974" s="8"/>
      <c r="G974" s="8"/>
      <c r="H974" s="8"/>
      <c r="I974" s="8"/>
      <c r="J974" s="8"/>
    </row>
    <row r="975" spans="1:11" s="1" customFormat="1" ht="25.5" customHeight="1" x14ac:dyDescent="0.2">
      <c r="A975" s="8"/>
      <c r="B975" s="9" t="s">
        <v>355</v>
      </c>
      <c r="C975" s="137" t="s">
        <v>356</v>
      </c>
      <c r="D975" s="138"/>
      <c r="E975" s="8"/>
      <c r="F975" s="8"/>
      <c r="G975" s="8"/>
      <c r="H975" s="8"/>
      <c r="I975" s="8"/>
      <c r="J975" s="8"/>
    </row>
    <row r="976" spans="1:11" s="1" customFormat="1" ht="25.5" customHeight="1" x14ac:dyDescent="0.2">
      <c r="A976" s="8"/>
      <c r="B976" s="23">
        <v>41640</v>
      </c>
      <c r="C976" s="137" t="s">
        <v>357</v>
      </c>
      <c r="D976" s="138"/>
      <c r="E976" s="8"/>
      <c r="F976" s="8"/>
      <c r="G976" s="8"/>
      <c r="H976" s="8"/>
      <c r="I976" s="8"/>
      <c r="J976" s="8"/>
    </row>
    <row r="977" spans="1:10" s="1" customFormat="1" ht="25.5" customHeight="1" x14ac:dyDescent="0.2">
      <c r="A977" s="11" t="s">
        <v>358</v>
      </c>
      <c r="B977" s="11" t="s">
        <v>359</v>
      </c>
      <c r="C977" s="139" t="s">
        <v>360</v>
      </c>
      <c r="D977" s="140"/>
      <c r="E977" s="11" t="s">
        <v>81</v>
      </c>
      <c r="F977" s="12">
        <v>172</v>
      </c>
      <c r="G977" s="12">
        <v>11.27</v>
      </c>
      <c r="H977" s="12">
        <v>14.38</v>
      </c>
      <c r="I977" s="13">
        <f>F977*G977</f>
        <v>1938.4399999999998</v>
      </c>
      <c r="J977" s="13">
        <f>F977*H977</f>
        <v>2473.36</v>
      </c>
    </row>
    <row r="978" spans="1:10" s="1" customFormat="1" ht="25.5" customHeight="1" x14ac:dyDescent="0.2">
      <c r="A978" s="11" t="s">
        <v>361</v>
      </c>
      <c r="B978" s="11" t="s">
        <v>362</v>
      </c>
      <c r="C978" s="139" t="s">
        <v>363</v>
      </c>
      <c r="D978" s="140"/>
      <c r="E978" s="11" t="s">
        <v>81</v>
      </c>
      <c r="F978" s="12">
        <v>169</v>
      </c>
      <c r="G978" s="12">
        <v>11.89</v>
      </c>
      <c r="H978" s="12">
        <v>15.17</v>
      </c>
      <c r="I978" s="13">
        <f>F978*G978</f>
        <v>2009.41</v>
      </c>
      <c r="J978" s="13">
        <f>F978*H978</f>
        <v>2563.73</v>
      </c>
    </row>
    <row r="979" spans="1:10" s="1" customFormat="1" ht="25.5" customHeight="1" x14ac:dyDescent="0.2">
      <c r="A979" s="11" t="s">
        <v>364</v>
      </c>
      <c r="B979" s="11" t="s">
        <v>365</v>
      </c>
      <c r="C979" s="139" t="s">
        <v>366</v>
      </c>
      <c r="D979" s="140"/>
      <c r="E979" s="11" t="s">
        <v>81</v>
      </c>
      <c r="F979" s="12">
        <v>66</v>
      </c>
      <c r="G979" s="12">
        <v>28.56</v>
      </c>
      <c r="H979" s="12">
        <v>36.44</v>
      </c>
      <c r="I979" s="13">
        <f>F979*G979</f>
        <v>1884.9599999999998</v>
      </c>
      <c r="J979" s="13">
        <f>F979*H979</f>
        <v>2405.04</v>
      </c>
    </row>
    <row r="980" spans="1:10" s="1" customFormat="1" ht="25.5" customHeight="1" x14ac:dyDescent="0.2">
      <c r="A980" s="11" t="s">
        <v>367</v>
      </c>
      <c r="B980" s="11" t="s">
        <v>368</v>
      </c>
      <c r="C980" s="139" t="s">
        <v>369</v>
      </c>
      <c r="D980" s="140"/>
      <c r="E980" s="11" t="s">
        <v>81</v>
      </c>
      <c r="F980" s="12">
        <v>39</v>
      </c>
      <c r="G980" s="12">
        <v>35.53</v>
      </c>
      <c r="H980" s="12">
        <v>45.34</v>
      </c>
      <c r="I980" s="13">
        <f>F980*G980</f>
        <v>1385.67</v>
      </c>
      <c r="J980" s="13">
        <f>F980*H980</f>
        <v>1768.2600000000002</v>
      </c>
    </row>
    <row r="981" spans="1:10" s="1" customFormat="1" ht="25.5" customHeight="1" x14ac:dyDescent="0.2">
      <c r="A981" s="11" t="s">
        <v>370</v>
      </c>
      <c r="B981" s="11" t="s">
        <v>371</v>
      </c>
      <c r="C981" s="139" t="s">
        <v>372</v>
      </c>
      <c r="D981" s="140"/>
      <c r="E981" s="11" t="s">
        <v>81</v>
      </c>
      <c r="F981" s="12">
        <v>87</v>
      </c>
      <c r="G981" s="12">
        <v>47.11</v>
      </c>
      <c r="H981" s="12">
        <v>60.1</v>
      </c>
      <c r="I981" s="13">
        <f>F981*G981</f>
        <v>4098.57</v>
      </c>
      <c r="J981" s="13">
        <f>F981*H981</f>
        <v>5228.7</v>
      </c>
    </row>
    <row r="982" spans="1:10" s="1" customFormat="1" ht="25.5" customHeight="1" x14ac:dyDescent="0.2">
      <c r="A982" s="8"/>
      <c r="B982" s="23">
        <v>41641</v>
      </c>
      <c r="C982" s="137" t="s">
        <v>373</v>
      </c>
      <c r="D982" s="138"/>
      <c r="E982" s="8"/>
      <c r="F982" s="8"/>
      <c r="G982" s="8"/>
      <c r="H982" s="8"/>
      <c r="I982" s="8"/>
      <c r="J982" s="8"/>
    </row>
    <row r="983" spans="1:10" s="1" customFormat="1" ht="25.5" customHeight="1" x14ac:dyDescent="0.2">
      <c r="A983" s="10">
        <v>89383</v>
      </c>
      <c r="B983" s="11" t="s">
        <v>374</v>
      </c>
      <c r="C983" s="139" t="s">
        <v>375</v>
      </c>
      <c r="D983" s="140"/>
      <c r="E983" s="11" t="s">
        <v>102</v>
      </c>
      <c r="F983" s="12">
        <v>125</v>
      </c>
      <c r="G983" s="12">
        <v>5.09</v>
      </c>
      <c r="H983" s="12">
        <v>6.49</v>
      </c>
      <c r="I983" s="13">
        <f t="shared" ref="I983:I990" si="82">F983*G983</f>
        <v>636.25</v>
      </c>
      <c r="J983" s="13">
        <f t="shared" ref="J983:J990" si="83">F983*H983</f>
        <v>811.25</v>
      </c>
    </row>
    <row r="984" spans="1:10" s="1" customFormat="1" ht="25.5" customHeight="1" x14ac:dyDescent="0.2">
      <c r="A984" s="10">
        <v>89391</v>
      </c>
      <c r="B984" s="11" t="s">
        <v>376</v>
      </c>
      <c r="C984" s="139" t="s">
        <v>377</v>
      </c>
      <c r="D984" s="140"/>
      <c r="E984" s="11" t="s">
        <v>102</v>
      </c>
      <c r="F984" s="12">
        <v>30</v>
      </c>
      <c r="G984" s="12">
        <v>6.77</v>
      </c>
      <c r="H984" s="12">
        <v>8.64</v>
      </c>
      <c r="I984" s="13">
        <f t="shared" si="82"/>
        <v>203.1</v>
      </c>
      <c r="J984" s="13">
        <f t="shared" si="83"/>
        <v>259.20000000000005</v>
      </c>
    </row>
    <row r="985" spans="1:10" s="1" customFormat="1" ht="25.5" customHeight="1" x14ac:dyDescent="0.2">
      <c r="A985" s="10">
        <v>89595</v>
      </c>
      <c r="B985" s="11" t="s">
        <v>378</v>
      </c>
      <c r="C985" s="139" t="s">
        <v>379</v>
      </c>
      <c r="D985" s="140"/>
      <c r="E985" s="11" t="s">
        <v>102</v>
      </c>
      <c r="F985" s="12">
        <v>30</v>
      </c>
      <c r="G985" s="12">
        <v>10.76</v>
      </c>
      <c r="H985" s="12">
        <v>13.73</v>
      </c>
      <c r="I985" s="13">
        <f t="shared" si="82"/>
        <v>322.8</v>
      </c>
      <c r="J985" s="13">
        <f t="shared" si="83"/>
        <v>411.90000000000003</v>
      </c>
    </row>
    <row r="986" spans="1:10" s="1" customFormat="1" ht="25.5" customHeight="1" x14ac:dyDescent="0.2">
      <c r="A986" s="10">
        <v>94668</v>
      </c>
      <c r="B986" s="11" t="s">
        <v>380</v>
      </c>
      <c r="C986" s="139" t="s">
        <v>381</v>
      </c>
      <c r="D986" s="140"/>
      <c r="E986" s="11" t="s">
        <v>102</v>
      </c>
      <c r="F986" s="12">
        <v>11</v>
      </c>
      <c r="G986" s="12">
        <v>42.01</v>
      </c>
      <c r="H986" s="12">
        <v>53.6</v>
      </c>
      <c r="I986" s="13">
        <f t="shared" si="82"/>
        <v>462.10999999999996</v>
      </c>
      <c r="J986" s="13">
        <f t="shared" si="83"/>
        <v>589.6</v>
      </c>
    </row>
    <row r="987" spans="1:10" s="1" customFormat="1" ht="25.5" customHeight="1" x14ac:dyDescent="0.2">
      <c r="A987" s="10">
        <v>94708</v>
      </c>
      <c r="B987" s="11" t="s">
        <v>382</v>
      </c>
      <c r="C987" s="139" t="s">
        <v>383</v>
      </c>
      <c r="D987" s="140"/>
      <c r="E987" s="11" t="s">
        <v>102</v>
      </c>
      <c r="F987" s="12">
        <v>1</v>
      </c>
      <c r="G987" s="12">
        <v>19.79</v>
      </c>
      <c r="H987" s="12">
        <v>25.25</v>
      </c>
      <c r="I987" s="13">
        <f t="shared" si="82"/>
        <v>19.79</v>
      </c>
      <c r="J987" s="13">
        <f t="shared" si="83"/>
        <v>25.25</v>
      </c>
    </row>
    <row r="988" spans="1:10" s="1" customFormat="1" ht="25.5" customHeight="1" x14ac:dyDescent="0.2">
      <c r="A988" s="10">
        <v>94709</v>
      </c>
      <c r="B988" s="11" t="s">
        <v>384</v>
      </c>
      <c r="C988" s="139" t="s">
        <v>385</v>
      </c>
      <c r="D988" s="140"/>
      <c r="E988" s="11" t="s">
        <v>102</v>
      </c>
      <c r="F988" s="12">
        <v>1</v>
      </c>
      <c r="G988" s="12">
        <v>23.32</v>
      </c>
      <c r="H988" s="12">
        <v>29.75</v>
      </c>
      <c r="I988" s="13">
        <f t="shared" si="82"/>
        <v>23.32</v>
      </c>
      <c r="J988" s="13">
        <f t="shared" si="83"/>
        <v>29.75</v>
      </c>
    </row>
    <row r="989" spans="1:10" s="1" customFormat="1" ht="25.5" customHeight="1" x14ac:dyDescent="0.2">
      <c r="A989" s="10">
        <v>94711</v>
      </c>
      <c r="B989" s="11" t="s">
        <v>386</v>
      </c>
      <c r="C989" s="139" t="s">
        <v>387</v>
      </c>
      <c r="D989" s="140"/>
      <c r="E989" s="11" t="s">
        <v>102</v>
      </c>
      <c r="F989" s="12">
        <v>5</v>
      </c>
      <c r="G989" s="12">
        <v>40.08</v>
      </c>
      <c r="H989" s="12">
        <v>51.14</v>
      </c>
      <c r="I989" s="13">
        <f t="shared" si="82"/>
        <v>200.39999999999998</v>
      </c>
      <c r="J989" s="13">
        <f t="shared" si="83"/>
        <v>255.7</v>
      </c>
    </row>
    <row r="990" spans="1:10" s="1" customFormat="1" ht="25.5" customHeight="1" x14ac:dyDescent="0.2">
      <c r="A990" s="10">
        <v>94714</v>
      </c>
      <c r="B990" s="11" t="s">
        <v>388</v>
      </c>
      <c r="C990" s="139" t="s">
        <v>389</v>
      </c>
      <c r="D990" s="140"/>
      <c r="E990" s="11" t="s">
        <v>102</v>
      </c>
      <c r="F990" s="12">
        <v>1</v>
      </c>
      <c r="G990" s="12">
        <v>199.75</v>
      </c>
      <c r="H990" s="12">
        <v>254.86</v>
      </c>
      <c r="I990" s="13">
        <f t="shared" si="82"/>
        <v>199.75</v>
      </c>
      <c r="J990" s="13">
        <f t="shared" si="83"/>
        <v>254.86</v>
      </c>
    </row>
    <row r="991" spans="1:10" s="1" customFormat="1" ht="25.5" customHeight="1" x14ac:dyDescent="0.2">
      <c r="A991" s="8"/>
      <c r="B991" s="23">
        <v>41642</v>
      </c>
      <c r="C991" s="137" t="s">
        <v>390</v>
      </c>
      <c r="D991" s="138"/>
      <c r="E991" s="8"/>
      <c r="F991" s="8"/>
      <c r="G991" s="8"/>
      <c r="H991" s="8"/>
      <c r="I991" s="8"/>
      <c r="J991" s="8"/>
    </row>
    <row r="992" spans="1:10" s="1" customFormat="1" ht="25.5" customHeight="1" x14ac:dyDescent="0.2">
      <c r="A992" s="11" t="s">
        <v>391</v>
      </c>
      <c r="B992" s="11" t="s">
        <v>392</v>
      </c>
      <c r="C992" s="139" t="s">
        <v>393</v>
      </c>
      <c r="D992" s="140"/>
      <c r="E992" s="11" t="s">
        <v>102</v>
      </c>
      <c r="F992" s="12">
        <v>13</v>
      </c>
      <c r="G992" s="12">
        <v>3.37</v>
      </c>
      <c r="H992" s="12">
        <v>4.29</v>
      </c>
      <c r="I992" s="13">
        <f t="shared" ref="I992:I998" si="84">F992*G992</f>
        <v>43.81</v>
      </c>
      <c r="J992" s="13">
        <f t="shared" ref="J992:J998" si="85">F992*H992</f>
        <v>55.77</v>
      </c>
    </row>
    <row r="993" spans="1:10" s="1" customFormat="1" ht="25.5" customHeight="1" x14ac:dyDescent="0.2">
      <c r="A993" s="11" t="s">
        <v>394</v>
      </c>
      <c r="B993" s="11" t="s">
        <v>395</v>
      </c>
      <c r="C993" s="139" t="s">
        <v>396</v>
      </c>
      <c r="D993" s="140"/>
      <c r="E993" s="11" t="s">
        <v>102</v>
      </c>
      <c r="F993" s="12">
        <v>4</v>
      </c>
      <c r="G993" s="12">
        <v>10.220000000000001</v>
      </c>
      <c r="H993" s="12">
        <v>13.03</v>
      </c>
      <c r="I993" s="13">
        <f t="shared" si="84"/>
        <v>40.880000000000003</v>
      </c>
      <c r="J993" s="13">
        <f t="shared" si="85"/>
        <v>52.12</v>
      </c>
    </row>
    <row r="994" spans="1:10" s="1" customFormat="1" ht="25.5" customHeight="1" x14ac:dyDescent="0.2">
      <c r="A994" s="11" t="s">
        <v>397</v>
      </c>
      <c r="B994" s="11" t="s">
        <v>398</v>
      </c>
      <c r="C994" s="139" t="s">
        <v>399</v>
      </c>
      <c r="D994" s="140"/>
      <c r="E994" s="11" t="s">
        <v>102</v>
      </c>
      <c r="F994" s="12">
        <v>2</v>
      </c>
      <c r="G994" s="12">
        <v>10.91</v>
      </c>
      <c r="H994" s="12">
        <v>13.92</v>
      </c>
      <c r="I994" s="13">
        <f t="shared" si="84"/>
        <v>21.82</v>
      </c>
      <c r="J994" s="13">
        <f t="shared" si="85"/>
        <v>27.84</v>
      </c>
    </row>
    <row r="995" spans="1:10" s="1" customFormat="1" ht="25.5" customHeight="1" x14ac:dyDescent="0.2">
      <c r="A995" s="11" t="s">
        <v>400</v>
      </c>
      <c r="B995" s="11" t="s">
        <v>401</v>
      </c>
      <c r="C995" s="139" t="s">
        <v>402</v>
      </c>
      <c r="D995" s="140"/>
      <c r="E995" s="11" t="s">
        <v>102</v>
      </c>
      <c r="F995" s="12">
        <v>5</v>
      </c>
      <c r="G995" s="12">
        <v>13.18</v>
      </c>
      <c r="H995" s="12">
        <v>16.809999999999999</v>
      </c>
      <c r="I995" s="13">
        <f t="shared" si="84"/>
        <v>65.900000000000006</v>
      </c>
      <c r="J995" s="13">
        <f t="shared" si="85"/>
        <v>84.05</v>
      </c>
    </row>
    <row r="996" spans="1:10" s="1" customFormat="1" ht="25.5" customHeight="1" x14ac:dyDescent="0.2">
      <c r="A996" s="11" t="s">
        <v>403</v>
      </c>
      <c r="B996" s="11" t="s">
        <v>404</v>
      </c>
      <c r="C996" s="139" t="s">
        <v>405</v>
      </c>
      <c r="D996" s="140"/>
      <c r="E996" s="11" t="s">
        <v>102</v>
      </c>
      <c r="F996" s="12">
        <v>11</v>
      </c>
      <c r="G996" s="12">
        <v>12.73</v>
      </c>
      <c r="H996" s="12">
        <v>16.239999999999998</v>
      </c>
      <c r="I996" s="13">
        <f t="shared" si="84"/>
        <v>140.03</v>
      </c>
      <c r="J996" s="13">
        <f t="shared" si="85"/>
        <v>178.64</v>
      </c>
    </row>
    <row r="997" spans="1:10" s="1" customFormat="1" ht="25.5" customHeight="1" x14ac:dyDescent="0.2">
      <c r="A997" s="11" t="s">
        <v>406</v>
      </c>
      <c r="B997" s="11" t="s">
        <v>407</v>
      </c>
      <c r="C997" s="139" t="s">
        <v>408</v>
      </c>
      <c r="D997" s="140"/>
      <c r="E997" s="11" t="s">
        <v>102</v>
      </c>
      <c r="F997" s="12">
        <v>12</v>
      </c>
      <c r="G997" s="12">
        <v>8.5299999999999994</v>
      </c>
      <c r="H997" s="12">
        <v>10.89</v>
      </c>
      <c r="I997" s="13">
        <f t="shared" si="84"/>
        <v>102.35999999999999</v>
      </c>
      <c r="J997" s="13">
        <f t="shared" si="85"/>
        <v>130.68</v>
      </c>
    </row>
    <row r="998" spans="1:10" s="1" customFormat="1" ht="25.5" customHeight="1" x14ac:dyDescent="0.2">
      <c r="A998" s="11" t="s">
        <v>409</v>
      </c>
      <c r="B998" s="11" t="s">
        <v>410</v>
      </c>
      <c r="C998" s="139" t="s">
        <v>411</v>
      </c>
      <c r="D998" s="140"/>
      <c r="E998" s="11" t="s">
        <v>102</v>
      </c>
      <c r="F998" s="12">
        <v>6</v>
      </c>
      <c r="G998" s="12">
        <v>22.59</v>
      </c>
      <c r="H998" s="12">
        <v>28.82</v>
      </c>
      <c r="I998" s="13">
        <f t="shared" si="84"/>
        <v>135.54</v>
      </c>
      <c r="J998" s="13">
        <f t="shared" si="85"/>
        <v>172.92000000000002</v>
      </c>
    </row>
    <row r="999" spans="1:10" s="1" customFormat="1" ht="25.5" customHeight="1" x14ac:dyDescent="0.2">
      <c r="A999" s="8"/>
      <c r="B999" s="23">
        <v>41643</v>
      </c>
      <c r="C999" s="137" t="s">
        <v>412</v>
      </c>
      <c r="D999" s="138"/>
      <c r="E999" s="8"/>
      <c r="F999" s="8"/>
      <c r="G999" s="8"/>
      <c r="H999" s="8"/>
      <c r="I999" s="8"/>
      <c r="J999" s="8"/>
    </row>
    <row r="1000" spans="1:10" s="1" customFormat="1" ht="25.5" customHeight="1" x14ac:dyDescent="0.2">
      <c r="A1000" s="10">
        <v>89408</v>
      </c>
      <c r="B1000" s="11" t="s">
        <v>413</v>
      </c>
      <c r="C1000" s="139" t="s">
        <v>414</v>
      </c>
      <c r="D1000" s="140"/>
      <c r="E1000" s="11" t="s">
        <v>102</v>
      </c>
      <c r="F1000" s="12">
        <v>91</v>
      </c>
      <c r="G1000" s="12">
        <v>4.09</v>
      </c>
      <c r="H1000" s="12">
        <v>5.21</v>
      </c>
      <c r="I1000" s="13">
        <f t="shared" ref="I1000:I1010" si="86">F1000*G1000</f>
        <v>372.19</v>
      </c>
      <c r="J1000" s="13">
        <f t="shared" ref="J1000:J1010" si="87">F1000*H1000</f>
        <v>474.11</v>
      </c>
    </row>
    <row r="1001" spans="1:10" s="1" customFormat="1" ht="25.5" customHeight="1" x14ac:dyDescent="0.2">
      <c r="A1001" s="10">
        <v>89413</v>
      </c>
      <c r="B1001" s="11" t="s">
        <v>415</v>
      </c>
      <c r="C1001" s="139" t="s">
        <v>416</v>
      </c>
      <c r="D1001" s="140"/>
      <c r="E1001" s="11" t="s">
        <v>102</v>
      </c>
      <c r="F1001" s="12">
        <v>28</v>
      </c>
      <c r="G1001" s="12">
        <v>5.71</v>
      </c>
      <c r="H1001" s="12">
        <v>7.28</v>
      </c>
      <c r="I1001" s="13">
        <f t="shared" si="86"/>
        <v>159.88</v>
      </c>
      <c r="J1001" s="13">
        <f t="shared" si="87"/>
        <v>203.84</v>
      </c>
    </row>
    <row r="1002" spans="1:10" s="1" customFormat="1" ht="25.5" customHeight="1" x14ac:dyDescent="0.2">
      <c r="A1002" s="10">
        <v>89501</v>
      </c>
      <c r="B1002" s="11" t="s">
        <v>417</v>
      </c>
      <c r="C1002" s="139" t="s">
        <v>418</v>
      </c>
      <c r="D1002" s="140"/>
      <c r="E1002" s="11" t="s">
        <v>102</v>
      </c>
      <c r="F1002" s="12">
        <v>20</v>
      </c>
      <c r="G1002" s="12">
        <v>8.99</v>
      </c>
      <c r="H1002" s="12">
        <v>11.47</v>
      </c>
      <c r="I1002" s="13">
        <f t="shared" si="86"/>
        <v>179.8</v>
      </c>
      <c r="J1002" s="13">
        <f t="shared" si="87"/>
        <v>229.4</v>
      </c>
    </row>
    <row r="1003" spans="1:10" s="1" customFormat="1" ht="25.5" customHeight="1" x14ac:dyDescent="0.2">
      <c r="A1003" s="10">
        <v>89505</v>
      </c>
      <c r="B1003" s="11" t="s">
        <v>419</v>
      </c>
      <c r="C1003" s="139" t="s">
        <v>420</v>
      </c>
      <c r="D1003" s="140"/>
      <c r="E1003" s="11" t="s">
        <v>102</v>
      </c>
      <c r="F1003" s="12">
        <v>10</v>
      </c>
      <c r="G1003" s="12">
        <v>23.78</v>
      </c>
      <c r="H1003" s="12">
        <v>30.34</v>
      </c>
      <c r="I1003" s="13">
        <f t="shared" si="86"/>
        <v>237.8</v>
      </c>
      <c r="J1003" s="13">
        <f t="shared" si="87"/>
        <v>303.39999999999998</v>
      </c>
    </row>
    <row r="1004" spans="1:10" s="1" customFormat="1" ht="25.5" customHeight="1" x14ac:dyDescent="0.2">
      <c r="A1004" s="10">
        <v>89521</v>
      </c>
      <c r="B1004" s="11" t="s">
        <v>421</v>
      </c>
      <c r="C1004" s="139" t="s">
        <v>422</v>
      </c>
      <c r="D1004" s="140"/>
      <c r="E1004" s="11" t="s">
        <v>102</v>
      </c>
      <c r="F1004" s="12">
        <v>4</v>
      </c>
      <c r="G1004" s="12">
        <v>72.209999999999994</v>
      </c>
      <c r="H1004" s="12">
        <v>92.13</v>
      </c>
      <c r="I1004" s="13">
        <f t="shared" si="86"/>
        <v>288.83999999999997</v>
      </c>
      <c r="J1004" s="13">
        <f t="shared" si="87"/>
        <v>368.52</v>
      </c>
    </row>
    <row r="1005" spans="1:10" s="1" customFormat="1" ht="25.5" customHeight="1" x14ac:dyDescent="0.2">
      <c r="A1005" s="10">
        <v>89409</v>
      </c>
      <c r="B1005" s="11" t="s">
        <v>423</v>
      </c>
      <c r="C1005" s="139" t="s">
        <v>424</v>
      </c>
      <c r="D1005" s="140"/>
      <c r="E1005" s="11" t="s">
        <v>102</v>
      </c>
      <c r="F1005" s="12">
        <v>5</v>
      </c>
      <c r="G1005" s="12">
        <v>4.51</v>
      </c>
      <c r="H1005" s="12">
        <v>5.75</v>
      </c>
      <c r="I1005" s="13">
        <f t="shared" si="86"/>
        <v>22.549999999999997</v>
      </c>
      <c r="J1005" s="13">
        <f t="shared" si="87"/>
        <v>28.75</v>
      </c>
    </row>
    <row r="1006" spans="1:10" s="1" customFormat="1" ht="25.5" customHeight="1" x14ac:dyDescent="0.2">
      <c r="A1006" s="10">
        <v>89414</v>
      </c>
      <c r="B1006" s="11" t="s">
        <v>425</v>
      </c>
      <c r="C1006" s="139" t="s">
        <v>426</v>
      </c>
      <c r="D1006" s="140"/>
      <c r="E1006" s="11" t="s">
        <v>102</v>
      </c>
      <c r="F1006" s="12">
        <v>3</v>
      </c>
      <c r="G1006" s="12">
        <v>6.88</v>
      </c>
      <c r="H1006" s="12">
        <v>8.77</v>
      </c>
      <c r="I1006" s="13">
        <f t="shared" si="86"/>
        <v>20.64</v>
      </c>
      <c r="J1006" s="13">
        <f t="shared" si="87"/>
        <v>26.31</v>
      </c>
    </row>
    <row r="1007" spans="1:10" s="1" customFormat="1" ht="25.5" customHeight="1" x14ac:dyDescent="0.2">
      <c r="A1007" s="10">
        <v>89502</v>
      </c>
      <c r="B1007" s="11" t="s">
        <v>427</v>
      </c>
      <c r="C1007" s="139" t="s">
        <v>428</v>
      </c>
      <c r="D1007" s="140"/>
      <c r="E1007" s="11" t="s">
        <v>102</v>
      </c>
      <c r="F1007" s="12">
        <v>2</v>
      </c>
      <c r="G1007" s="12">
        <v>9.86</v>
      </c>
      <c r="H1007" s="12">
        <v>12.57</v>
      </c>
      <c r="I1007" s="13">
        <f t="shared" si="86"/>
        <v>19.72</v>
      </c>
      <c r="J1007" s="13">
        <f t="shared" si="87"/>
        <v>25.14</v>
      </c>
    </row>
    <row r="1008" spans="1:10" s="1" customFormat="1" ht="25.5" customHeight="1" x14ac:dyDescent="0.2">
      <c r="A1008" s="10">
        <v>89366</v>
      </c>
      <c r="B1008" s="11" t="s">
        <v>429</v>
      </c>
      <c r="C1008" s="139" t="s">
        <v>430</v>
      </c>
      <c r="D1008" s="140"/>
      <c r="E1008" s="11" t="s">
        <v>102</v>
      </c>
      <c r="F1008" s="12">
        <v>12</v>
      </c>
      <c r="G1008" s="12">
        <v>10.4</v>
      </c>
      <c r="H1008" s="12">
        <v>13.26</v>
      </c>
      <c r="I1008" s="13">
        <f t="shared" si="86"/>
        <v>124.80000000000001</v>
      </c>
      <c r="J1008" s="13">
        <f t="shared" si="87"/>
        <v>159.12</v>
      </c>
    </row>
    <row r="1009" spans="1:10" s="1" customFormat="1" ht="25.5" customHeight="1" x14ac:dyDescent="0.2">
      <c r="A1009" s="10">
        <v>90373</v>
      </c>
      <c r="B1009" s="11" t="s">
        <v>431</v>
      </c>
      <c r="C1009" s="139" t="s">
        <v>432</v>
      </c>
      <c r="D1009" s="140"/>
      <c r="E1009" s="11" t="s">
        <v>102</v>
      </c>
      <c r="F1009" s="12">
        <v>64</v>
      </c>
      <c r="G1009" s="12">
        <v>9.6</v>
      </c>
      <c r="H1009" s="12">
        <v>12.25</v>
      </c>
      <c r="I1009" s="13">
        <f t="shared" si="86"/>
        <v>614.4</v>
      </c>
      <c r="J1009" s="13">
        <f t="shared" si="87"/>
        <v>784</v>
      </c>
    </row>
    <row r="1010" spans="1:10" s="1" customFormat="1" ht="25.5" customHeight="1" x14ac:dyDescent="0.2">
      <c r="A1010" s="11" t="s">
        <v>433</v>
      </c>
      <c r="B1010" s="11" t="s">
        <v>434</v>
      </c>
      <c r="C1010" s="139" t="s">
        <v>435</v>
      </c>
      <c r="D1010" s="140"/>
      <c r="E1010" s="11" t="s">
        <v>102</v>
      </c>
      <c r="F1010" s="12">
        <v>13</v>
      </c>
      <c r="G1010" s="12">
        <v>7.38</v>
      </c>
      <c r="H1010" s="12">
        <v>9.42</v>
      </c>
      <c r="I1010" s="13">
        <f t="shared" si="86"/>
        <v>95.94</v>
      </c>
      <c r="J1010" s="13">
        <f t="shared" si="87"/>
        <v>122.46</v>
      </c>
    </row>
    <row r="1011" spans="1:10" s="1" customFormat="1" ht="25.5" customHeight="1" x14ac:dyDescent="0.2">
      <c r="A1011" s="8"/>
      <c r="B1011" s="23">
        <v>41644</v>
      </c>
      <c r="C1011" s="137" t="s">
        <v>436</v>
      </c>
      <c r="D1011" s="138"/>
      <c r="E1011" s="8"/>
      <c r="F1011" s="8"/>
      <c r="G1011" s="8"/>
      <c r="H1011" s="8"/>
      <c r="I1011" s="8"/>
      <c r="J1011" s="8"/>
    </row>
    <row r="1012" spans="1:10" s="1" customFormat="1" ht="25.5" customHeight="1" x14ac:dyDescent="0.2">
      <c r="A1012" s="10">
        <v>89424</v>
      </c>
      <c r="B1012" s="11" t="s">
        <v>437</v>
      </c>
      <c r="C1012" s="139" t="s">
        <v>438</v>
      </c>
      <c r="D1012" s="140"/>
      <c r="E1012" s="11" t="s">
        <v>102</v>
      </c>
      <c r="F1012" s="12">
        <v>12</v>
      </c>
      <c r="G1012" s="12">
        <v>3.06</v>
      </c>
      <c r="H1012" s="12">
        <v>3.9</v>
      </c>
      <c r="I1012" s="13">
        <f t="shared" ref="I1012:I1017" si="88">F1012*G1012</f>
        <v>36.72</v>
      </c>
      <c r="J1012" s="13">
        <f t="shared" ref="J1012:J1017" si="89">F1012*H1012</f>
        <v>46.8</v>
      </c>
    </row>
    <row r="1013" spans="1:10" s="1" customFormat="1" ht="25.5" customHeight="1" x14ac:dyDescent="0.2">
      <c r="A1013" s="10">
        <v>89431</v>
      </c>
      <c r="B1013" s="11" t="s">
        <v>439</v>
      </c>
      <c r="C1013" s="139" t="s">
        <v>440</v>
      </c>
      <c r="D1013" s="140"/>
      <c r="E1013" s="11" t="s">
        <v>102</v>
      </c>
      <c r="F1013" s="12">
        <v>12</v>
      </c>
      <c r="G1013" s="12">
        <v>4.18</v>
      </c>
      <c r="H1013" s="12">
        <v>5.33</v>
      </c>
      <c r="I1013" s="13">
        <f t="shared" si="88"/>
        <v>50.16</v>
      </c>
      <c r="J1013" s="13">
        <f t="shared" si="89"/>
        <v>63.96</v>
      </c>
    </row>
    <row r="1014" spans="1:10" s="1" customFormat="1" ht="25.5" customHeight="1" x14ac:dyDescent="0.2">
      <c r="A1014" s="10">
        <v>89575</v>
      </c>
      <c r="B1014" s="11" t="s">
        <v>441</v>
      </c>
      <c r="C1014" s="139" t="s">
        <v>442</v>
      </c>
      <c r="D1014" s="140"/>
      <c r="E1014" s="11" t="s">
        <v>102</v>
      </c>
      <c r="F1014" s="12">
        <v>7</v>
      </c>
      <c r="G1014" s="12">
        <v>6.7</v>
      </c>
      <c r="H1014" s="12">
        <v>8.5399999999999991</v>
      </c>
      <c r="I1014" s="13">
        <f t="shared" si="88"/>
        <v>46.9</v>
      </c>
      <c r="J1014" s="13">
        <f t="shared" si="89"/>
        <v>59.779999999999994</v>
      </c>
    </row>
    <row r="1015" spans="1:10" s="1" customFormat="1" ht="25.5" customHeight="1" x14ac:dyDescent="0.2">
      <c r="A1015" s="10">
        <v>89597</v>
      </c>
      <c r="B1015" s="11" t="s">
        <v>443</v>
      </c>
      <c r="C1015" s="139" t="s">
        <v>444</v>
      </c>
      <c r="D1015" s="140"/>
      <c r="E1015" s="11" t="s">
        <v>102</v>
      </c>
      <c r="F1015" s="12">
        <v>3</v>
      </c>
      <c r="G1015" s="12">
        <v>12.3</v>
      </c>
      <c r="H1015" s="12">
        <v>15.7</v>
      </c>
      <c r="I1015" s="13">
        <f t="shared" si="88"/>
        <v>36.900000000000006</v>
      </c>
      <c r="J1015" s="13">
        <f t="shared" si="89"/>
        <v>47.099999999999994</v>
      </c>
    </row>
    <row r="1016" spans="1:10" s="1" customFormat="1" ht="25.5" customHeight="1" x14ac:dyDescent="0.2">
      <c r="A1016" s="10">
        <v>89614</v>
      </c>
      <c r="B1016" s="11" t="s">
        <v>445</v>
      </c>
      <c r="C1016" s="139" t="s">
        <v>446</v>
      </c>
      <c r="D1016" s="140"/>
      <c r="E1016" s="11" t="s">
        <v>102</v>
      </c>
      <c r="F1016" s="12">
        <v>7</v>
      </c>
      <c r="G1016" s="12">
        <v>33.06</v>
      </c>
      <c r="H1016" s="12">
        <v>42.18</v>
      </c>
      <c r="I1016" s="13">
        <f t="shared" si="88"/>
        <v>231.42000000000002</v>
      </c>
      <c r="J1016" s="13">
        <f t="shared" si="89"/>
        <v>295.26</v>
      </c>
    </row>
    <row r="1017" spans="1:10" s="1" customFormat="1" ht="25.5" customHeight="1" x14ac:dyDescent="0.2">
      <c r="A1017" s="11" t="s">
        <v>447</v>
      </c>
      <c r="B1017" s="11" t="s">
        <v>448</v>
      </c>
      <c r="C1017" s="139" t="s">
        <v>449</v>
      </c>
      <c r="D1017" s="140"/>
      <c r="E1017" s="11" t="s">
        <v>102</v>
      </c>
      <c r="F1017" s="12">
        <v>8</v>
      </c>
      <c r="G1017" s="12">
        <v>4.53</v>
      </c>
      <c r="H1017" s="12">
        <v>5.78</v>
      </c>
      <c r="I1017" s="13">
        <f t="shared" si="88"/>
        <v>36.24</v>
      </c>
      <c r="J1017" s="13">
        <f t="shared" si="89"/>
        <v>46.24</v>
      </c>
    </row>
    <row r="1018" spans="1:10" s="1" customFormat="1" ht="25.5" customHeight="1" x14ac:dyDescent="0.2">
      <c r="A1018" s="8"/>
      <c r="B1018" s="23">
        <v>41645</v>
      </c>
      <c r="C1018" s="137" t="s">
        <v>450</v>
      </c>
      <c r="D1018" s="138"/>
      <c r="E1018" s="8"/>
      <c r="F1018" s="8"/>
      <c r="G1018" s="8"/>
      <c r="H1018" s="8"/>
      <c r="I1018" s="8"/>
      <c r="J1018" s="8"/>
    </row>
    <row r="1019" spans="1:10" s="1" customFormat="1" ht="25.5" customHeight="1" x14ac:dyDescent="0.2">
      <c r="A1019" s="10">
        <v>89440</v>
      </c>
      <c r="B1019" s="11" t="s">
        <v>451</v>
      </c>
      <c r="C1019" s="139" t="s">
        <v>452</v>
      </c>
      <c r="D1019" s="140"/>
      <c r="E1019" s="11" t="s">
        <v>102</v>
      </c>
      <c r="F1019" s="12">
        <v>17</v>
      </c>
      <c r="G1019" s="12">
        <v>5.76</v>
      </c>
      <c r="H1019" s="12">
        <v>7.35</v>
      </c>
      <c r="I1019" s="13">
        <f t="shared" ref="I1019:I1029" si="90">F1019*G1019</f>
        <v>97.92</v>
      </c>
      <c r="J1019" s="13">
        <f t="shared" ref="J1019:J1029" si="91">F1019*H1019</f>
        <v>124.94999999999999</v>
      </c>
    </row>
    <row r="1020" spans="1:10" s="1" customFormat="1" ht="25.5" customHeight="1" x14ac:dyDescent="0.2">
      <c r="A1020" s="10">
        <v>89443</v>
      </c>
      <c r="B1020" s="11" t="s">
        <v>453</v>
      </c>
      <c r="C1020" s="139" t="s">
        <v>454</v>
      </c>
      <c r="D1020" s="140"/>
      <c r="E1020" s="11" t="s">
        <v>102</v>
      </c>
      <c r="F1020" s="12">
        <v>13</v>
      </c>
      <c r="G1020" s="12">
        <v>8.1999999999999993</v>
      </c>
      <c r="H1020" s="12">
        <v>10.46</v>
      </c>
      <c r="I1020" s="13">
        <f t="shared" si="90"/>
        <v>106.6</v>
      </c>
      <c r="J1020" s="13">
        <f t="shared" si="91"/>
        <v>135.98000000000002</v>
      </c>
    </row>
    <row r="1021" spans="1:10" s="1" customFormat="1" ht="25.5" customHeight="1" x14ac:dyDescent="0.2">
      <c r="A1021" s="10">
        <v>89625</v>
      </c>
      <c r="B1021" s="11" t="s">
        <v>455</v>
      </c>
      <c r="C1021" s="139" t="s">
        <v>456</v>
      </c>
      <c r="D1021" s="140"/>
      <c r="E1021" s="11" t="s">
        <v>102</v>
      </c>
      <c r="F1021" s="12">
        <v>17</v>
      </c>
      <c r="G1021" s="12">
        <v>13.75</v>
      </c>
      <c r="H1021" s="12">
        <v>17.55</v>
      </c>
      <c r="I1021" s="13">
        <f t="shared" si="90"/>
        <v>233.75</v>
      </c>
      <c r="J1021" s="13">
        <f t="shared" si="91"/>
        <v>298.35000000000002</v>
      </c>
    </row>
    <row r="1022" spans="1:10" s="1" customFormat="1" ht="25.5" customHeight="1" x14ac:dyDescent="0.2">
      <c r="A1022" s="10">
        <v>89628</v>
      </c>
      <c r="B1022" s="11" t="s">
        <v>457</v>
      </c>
      <c r="C1022" s="139" t="s">
        <v>458</v>
      </c>
      <c r="D1022" s="140"/>
      <c r="E1022" s="11" t="s">
        <v>102</v>
      </c>
      <c r="F1022" s="12">
        <v>8</v>
      </c>
      <c r="G1022" s="12">
        <v>27.72</v>
      </c>
      <c r="H1022" s="12">
        <v>35.369999999999997</v>
      </c>
      <c r="I1022" s="13">
        <f t="shared" si="90"/>
        <v>221.76</v>
      </c>
      <c r="J1022" s="13">
        <f t="shared" si="91"/>
        <v>282.95999999999998</v>
      </c>
    </row>
    <row r="1023" spans="1:10" s="1" customFormat="1" ht="25.5" customHeight="1" x14ac:dyDescent="0.2">
      <c r="A1023" s="10">
        <v>89631</v>
      </c>
      <c r="B1023" s="11" t="s">
        <v>459</v>
      </c>
      <c r="C1023" s="139" t="s">
        <v>460</v>
      </c>
      <c r="D1023" s="140"/>
      <c r="E1023" s="11" t="s">
        <v>102</v>
      </c>
      <c r="F1023" s="12">
        <v>6</v>
      </c>
      <c r="G1023" s="12">
        <v>71.03</v>
      </c>
      <c r="H1023" s="12">
        <v>90.62</v>
      </c>
      <c r="I1023" s="13">
        <f t="shared" si="90"/>
        <v>426.18</v>
      </c>
      <c r="J1023" s="13">
        <f t="shared" si="91"/>
        <v>543.72</v>
      </c>
    </row>
    <row r="1024" spans="1:10" s="1" customFormat="1" ht="25.5" customHeight="1" x14ac:dyDescent="0.2">
      <c r="A1024" s="11" t="s">
        <v>78</v>
      </c>
      <c r="B1024" s="11" t="s">
        <v>461</v>
      </c>
      <c r="C1024" s="139" t="s">
        <v>462</v>
      </c>
      <c r="D1024" s="140"/>
      <c r="E1024" s="11" t="s">
        <v>102</v>
      </c>
      <c r="F1024" s="12">
        <v>13</v>
      </c>
      <c r="G1024" s="12">
        <v>12.99</v>
      </c>
      <c r="H1024" s="12">
        <v>16.57</v>
      </c>
      <c r="I1024" s="13">
        <f t="shared" si="90"/>
        <v>168.87</v>
      </c>
      <c r="J1024" s="13">
        <f t="shared" si="91"/>
        <v>215.41</v>
      </c>
    </row>
    <row r="1025" spans="1:10" s="1" customFormat="1" ht="25.5" customHeight="1" x14ac:dyDescent="0.2">
      <c r="A1025" s="11" t="s">
        <v>78</v>
      </c>
      <c r="B1025" s="11" t="s">
        <v>463</v>
      </c>
      <c r="C1025" s="139" t="s">
        <v>464</v>
      </c>
      <c r="D1025" s="140"/>
      <c r="E1025" s="11" t="s">
        <v>102</v>
      </c>
      <c r="F1025" s="12">
        <v>4</v>
      </c>
      <c r="G1025" s="12">
        <v>14.25</v>
      </c>
      <c r="H1025" s="12">
        <v>18.18</v>
      </c>
      <c r="I1025" s="13">
        <f t="shared" si="90"/>
        <v>57</v>
      </c>
      <c r="J1025" s="13">
        <f t="shared" si="91"/>
        <v>72.72</v>
      </c>
    </row>
    <row r="1026" spans="1:10" s="1" customFormat="1" ht="25.5" customHeight="1" x14ac:dyDescent="0.2">
      <c r="A1026" s="10">
        <v>89400</v>
      </c>
      <c r="B1026" s="11" t="s">
        <v>465</v>
      </c>
      <c r="C1026" s="139" t="s">
        <v>466</v>
      </c>
      <c r="D1026" s="140"/>
      <c r="E1026" s="11" t="s">
        <v>102</v>
      </c>
      <c r="F1026" s="12">
        <v>26</v>
      </c>
      <c r="G1026" s="12">
        <v>13.19</v>
      </c>
      <c r="H1026" s="12">
        <v>16.829999999999998</v>
      </c>
      <c r="I1026" s="13">
        <f t="shared" si="90"/>
        <v>342.94</v>
      </c>
      <c r="J1026" s="13">
        <f t="shared" si="91"/>
        <v>437.57999999999993</v>
      </c>
    </row>
    <row r="1027" spans="1:10" s="1" customFormat="1" ht="25.5" customHeight="1" x14ac:dyDescent="0.2">
      <c r="A1027" s="10">
        <v>89627</v>
      </c>
      <c r="B1027" s="11" t="s">
        <v>467</v>
      </c>
      <c r="C1027" s="139" t="s">
        <v>468</v>
      </c>
      <c r="D1027" s="140"/>
      <c r="E1027" s="11" t="s">
        <v>102</v>
      </c>
      <c r="F1027" s="12">
        <v>3</v>
      </c>
      <c r="G1027" s="12">
        <v>13.53</v>
      </c>
      <c r="H1027" s="12">
        <v>17.260000000000002</v>
      </c>
      <c r="I1027" s="13">
        <f t="shared" si="90"/>
        <v>40.589999999999996</v>
      </c>
      <c r="J1027" s="13">
        <f t="shared" si="91"/>
        <v>51.78</v>
      </c>
    </row>
    <row r="1028" spans="1:10" s="1" customFormat="1" ht="25.5" customHeight="1" x14ac:dyDescent="0.2">
      <c r="A1028" s="11" t="s">
        <v>78</v>
      </c>
      <c r="B1028" s="11" t="s">
        <v>469</v>
      </c>
      <c r="C1028" s="139" t="s">
        <v>470</v>
      </c>
      <c r="D1028" s="140"/>
      <c r="E1028" s="11" t="s">
        <v>102</v>
      </c>
      <c r="F1028" s="12">
        <v>2</v>
      </c>
      <c r="G1028" s="12">
        <v>26.32</v>
      </c>
      <c r="H1028" s="12">
        <v>33.58</v>
      </c>
      <c r="I1028" s="13">
        <f t="shared" si="90"/>
        <v>52.64</v>
      </c>
      <c r="J1028" s="13">
        <f t="shared" si="91"/>
        <v>67.16</v>
      </c>
    </row>
    <row r="1029" spans="1:10" s="1" customFormat="1" ht="25.5" customHeight="1" x14ac:dyDescent="0.2">
      <c r="A1029" s="10">
        <v>89632</v>
      </c>
      <c r="B1029" s="11" t="s">
        <v>471</v>
      </c>
      <c r="C1029" s="139" t="s">
        <v>472</v>
      </c>
      <c r="D1029" s="140"/>
      <c r="E1029" s="11" t="s">
        <v>102</v>
      </c>
      <c r="F1029" s="12">
        <v>14</v>
      </c>
      <c r="G1029" s="12">
        <v>61.2</v>
      </c>
      <c r="H1029" s="12">
        <v>78.09</v>
      </c>
      <c r="I1029" s="13">
        <f t="shared" si="90"/>
        <v>856.80000000000007</v>
      </c>
      <c r="J1029" s="13">
        <f t="shared" si="91"/>
        <v>1093.26</v>
      </c>
    </row>
    <row r="1030" spans="1:10" s="1" customFormat="1" ht="25.5" customHeight="1" x14ac:dyDescent="0.2">
      <c r="A1030" s="8"/>
      <c r="B1030" s="23">
        <v>41646</v>
      </c>
      <c r="C1030" s="137" t="s">
        <v>473</v>
      </c>
      <c r="D1030" s="138"/>
      <c r="E1030" s="8"/>
      <c r="F1030" s="8"/>
      <c r="G1030" s="8"/>
      <c r="H1030" s="8"/>
      <c r="I1030" s="8"/>
      <c r="J1030" s="8"/>
    </row>
    <row r="1031" spans="1:10" s="1" customFormat="1" ht="25.5" customHeight="1" x14ac:dyDescent="0.2">
      <c r="A1031" s="10">
        <v>89382</v>
      </c>
      <c r="B1031" s="11" t="s">
        <v>474</v>
      </c>
      <c r="C1031" s="139" t="s">
        <v>475</v>
      </c>
      <c r="D1031" s="140"/>
      <c r="E1031" s="11" t="s">
        <v>102</v>
      </c>
      <c r="F1031" s="12">
        <v>2</v>
      </c>
      <c r="G1031" s="12">
        <v>8.39</v>
      </c>
      <c r="H1031" s="12">
        <v>10.7</v>
      </c>
      <c r="I1031" s="13">
        <f>F1031*G1031</f>
        <v>16.78</v>
      </c>
      <c r="J1031" s="13">
        <f>F1031*H1031</f>
        <v>21.4</v>
      </c>
    </row>
    <row r="1032" spans="1:10" s="1" customFormat="1" ht="25.5" customHeight="1" x14ac:dyDescent="0.2">
      <c r="A1032" s="10">
        <v>89390</v>
      </c>
      <c r="B1032" s="11" t="s">
        <v>476</v>
      </c>
      <c r="C1032" s="139" t="s">
        <v>477</v>
      </c>
      <c r="D1032" s="140"/>
      <c r="E1032" s="11" t="s">
        <v>102</v>
      </c>
      <c r="F1032" s="12">
        <v>2</v>
      </c>
      <c r="G1032" s="12">
        <v>12.33</v>
      </c>
      <c r="H1032" s="12">
        <v>15.73</v>
      </c>
      <c r="I1032" s="13">
        <f>F1032*G1032</f>
        <v>24.66</v>
      </c>
      <c r="J1032" s="13">
        <f>F1032*H1032</f>
        <v>31.46</v>
      </c>
    </row>
    <row r="1033" spans="1:10" s="1" customFormat="1" ht="25.5" customHeight="1" x14ac:dyDescent="0.2">
      <c r="A1033" s="10">
        <v>89594</v>
      </c>
      <c r="B1033" s="11" t="s">
        <v>478</v>
      </c>
      <c r="C1033" s="139" t="s">
        <v>479</v>
      </c>
      <c r="D1033" s="140"/>
      <c r="E1033" s="11" t="s">
        <v>102</v>
      </c>
      <c r="F1033" s="12">
        <v>4</v>
      </c>
      <c r="G1033" s="12">
        <v>21.53</v>
      </c>
      <c r="H1033" s="12">
        <v>27.47</v>
      </c>
      <c r="I1033" s="13">
        <f>F1033*G1033</f>
        <v>86.12</v>
      </c>
      <c r="J1033" s="13">
        <f>F1033*H1033</f>
        <v>109.88</v>
      </c>
    </row>
    <row r="1034" spans="1:10" s="1" customFormat="1" ht="25.5" customHeight="1" x14ac:dyDescent="0.2">
      <c r="A1034" s="10">
        <v>89615</v>
      </c>
      <c r="B1034" s="11" t="s">
        <v>480</v>
      </c>
      <c r="C1034" s="139" t="s">
        <v>481</v>
      </c>
      <c r="D1034" s="140"/>
      <c r="E1034" s="11" t="s">
        <v>102</v>
      </c>
      <c r="F1034" s="12">
        <v>2</v>
      </c>
      <c r="G1034" s="12">
        <v>133.13999999999999</v>
      </c>
      <c r="H1034" s="12">
        <v>169.87</v>
      </c>
      <c r="I1034" s="13">
        <f>F1034*G1034</f>
        <v>266.27999999999997</v>
      </c>
      <c r="J1034" s="13">
        <f>F1034*H1034</f>
        <v>339.74</v>
      </c>
    </row>
    <row r="1035" spans="1:10" s="1" customFormat="1" ht="25.5" customHeight="1" x14ac:dyDescent="0.2">
      <c r="A1035" s="8"/>
      <c r="B1035" s="23">
        <v>41647</v>
      </c>
      <c r="C1035" s="137" t="s">
        <v>482</v>
      </c>
      <c r="D1035" s="138"/>
      <c r="E1035" s="8"/>
      <c r="F1035" s="8"/>
      <c r="G1035" s="8"/>
      <c r="H1035" s="8"/>
      <c r="I1035" s="8"/>
      <c r="J1035" s="8"/>
    </row>
    <row r="1036" spans="1:10" s="1" customFormat="1" ht="25.5" customHeight="1" x14ac:dyDescent="0.2">
      <c r="A1036" s="11" t="s">
        <v>483</v>
      </c>
      <c r="B1036" s="11" t="s">
        <v>484</v>
      </c>
      <c r="C1036" s="139" t="s">
        <v>485</v>
      </c>
      <c r="D1036" s="140"/>
      <c r="E1036" s="11" t="s">
        <v>102</v>
      </c>
      <c r="F1036" s="12">
        <v>74</v>
      </c>
      <c r="G1036" s="12">
        <v>1.81</v>
      </c>
      <c r="H1036" s="12">
        <v>2.31</v>
      </c>
      <c r="I1036" s="13">
        <f>F1036*G1036</f>
        <v>133.94</v>
      </c>
      <c r="J1036" s="13">
        <f>F1036*H1036</f>
        <v>170.94</v>
      </c>
    </row>
    <row r="1037" spans="1:10" s="1" customFormat="1" ht="25.5" customHeight="1" x14ac:dyDescent="0.2">
      <c r="A1037" s="11" t="s">
        <v>486</v>
      </c>
      <c r="B1037" s="11" t="s">
        <v>487</v>
      </c>
      <c r="C1037" s="139" t="s">
        <v>488</v>
      </c>
      <c r="D1037" s="140"/>
      <c r="E1037" s="11" t="s">
        <v>102</v>
      </c>
      <c r="F1037" s="12">
        <v>17</v>
      </c>
      <c r="G1037" s="12">
        <v>2.93</v>
      </c>
      <c r="H1037" s="12">
        <v>3.73</v>
      </c>
      <c r="I1037" s="13">
        <f>F1037*G1037</f>
        <v>49.81</v>
      </c>
      <c r="J1037" s="13">
        <f>F1037*H1037</f>
        <v>63.41</v>
      </c>
    </row>
    <row r="1038" spans="1:10" s="1" customFormat="1" ht="25.5" customHeight="1" x14ac:dyDescent="0.2">
      <c r="A1038" s="11" t="s">
        <v>78</v>
      </c>
      <c r="B1038" s="11" t="s">
        <v>489</v>
      </c>
      <c r="C1038" s="139" t="s">
        <v>490</v>
      </c>
      <c r="D1038" s="140"/>
      <c r="E1038" s="11" t="s">
        <v>102</v>
      </c>
      <c r="F1038" s="12">
        <v>23</v>
      </c>
      <c r="G1038" s="12">
        <v>4.1100000000000003</v>
      </c>
      <c r="H1038" s="12">
        <v>5.25</v>
      </c>
      <c r="I1038" s="13">
        <f>F1038*G1038</f>
        <v>94.53</v>
      </c>
      <c r="J1038" s="13">
        <f>F1038*H1038</f>
        <v>120.75</v>
      </c>
    </row>
    <row r="1039" spans="1:10" s="1" customFormat="1" ht="25.5" customHeight="1" x14ac:dyDescent="0.2">
      <c r="A1039" s="8"/>
      <c r="B1039" s="149" t="s">
        <v>491</v>
      </c>
      <c r="C1039" s="150"/>
      <c r="D1039" s="150"/>
      <c r="E1039" s="150"/>
      <c r="F1039" s="150"/>
      <c r="G1039" s="151"/>
      <c r="H1039" s="8"/>
      <c r="I1039" s="14">
        <f>SUM(I977:I1038)-1.65</f>
        <v>19785.32999999998</v>
      </c>
      <c r="J1039" s="15">
        <f>SUM(J977:J1038)-0.16</f>
        <v>25244.099999999995</v>
      </c>
    </row>
    <row r="1040" spans="1:10" s="1" customFormat="1" ht="25.5" customHeight="1" x14ac:dyDescent="0.2">
      <c r="A1040" s="8"/>
      <c r="B1040" s="9" t="s">
        <v>492</v>
      </c>
      <c r="C1040" s="137" t="s">
        <v>493</v>
      </c>
      <c r="D1040" s="138"/>
      <c r="E1040" s="8"/>
      <c r="F1040" s="8"/>
      <c r="G1040" s="8"/>
      <c r="H1040" s="8"/>
      <c r="I1040" s="8"/>
      <c r="J1040" s="8"/>
    </row>
    <row r="1041" spans="1:10" s="1" customFormat="1" ht="25.5" customHeight="1" x14ac:dyDescent="0.2">
      <c r="A1041" s="10">
        <v>86902</v>
      </c>
      <c r="B1041" s="11" t="s">
        <v>494</v>
      </c>
      <c r="C1041" s="139" t="s">
        <v>495</v>
      </c>
      <c r="D1041" s="140"/>
      <c r="E1041" s="11" t="s">
        <v>102</v>
      </c>
      <c r="F1041" s="12">
        <v>7</v>
      </c>
      <c r="G1041" s="12">
        <v>179.19</v>
      </c>
      <c r="H1041" s="12">
        <v>228.63</v>
      </c>
      <c r="I1041" s="13">
        <f t="shared" ref="I1041:I1094" si="92">F1041*G1041</f>
        <v>1254.33</v>
      </c>
      <c r="J1041" s="13">
        <f t="shared" ref="J1041:J1094" si="93">F1041*H1041</f>
        <v>1600.4099999999999</v>
      </c>
    </row>
    <row r="1042" spans="1:10" s="1" customFormat="1" ht="25.5" customHeight="1" x14ac:dyDescent="0.2">
      <c r="A1042" s="10">
        <v>86938</v>
      </c>
      <c r="B1042" s="11" t="s">
        <v>496</v>
      </c>
      <c r="C1042" s="139" t="s">
        <v>497</v>
      </c>
      <c r="D1042" s="140"/>
      <c r="E1042" s="11" t="s">
        <v>102</v>
      </c>
      <c r="F1042" s="12">
        <v>2</v>
      </c>
      <c r="G1042" s="12">
        <v>212.03</v>
      </c>
      <c r="H1042" s="12">
        <v>270.52999999999997</v>
      </c>
      <c r="I1042" s="13">
        <f t="shared" si="92"/>
        <v>424.06</v>
      </c>
      <c r="J1042" s="13">
        <f t="shared" si="93"/>
        <v>541.05999999999995</v>
      </c>
    </row>
    <row r="1043" spans="1:10" s="1" customFormat="1" ht="25.5" customHeight="1" x14ac:dyDescent="0.2">
      <c r="A1043" s="10">
        <v>86901</v>
      </c>
      <c r="B1043" s="11" t="s">
        <v>498</v>
      </c>
      <c r="C1043" s="139" t="s">
        <v>499</v>
      </c>
      <c r="D1043" s="140"/>
      <c r="E1043" s="11" t="s">
        <v>102</v>
      </c>
      <c r="F1043" s="12">
        <v>2</v>
      </c>
      <c r="G1043" s="12">
        <v>101.58</v>
      </c>
      <c r="H1043" s="12">
        <v>129.61000000000001</v>
      </c>
      <c r="I1043" s="13">
        <f t="shared" si="92"/>
        <v>203.16</v>
      </c>
      <c r="J1043" s="13">
        <f t="shared" si="93"/>
        <v>259.22000000000003</v>
      </c>
    </row>
    <row r="1044" spans="1:10" s="1" customFormat="1" ht="25.5" customHeight="1" x14ac:dyDescent="0.2">
      <c r="A1044" s="11" t="s">
        <v>78</v>
      </c>
      <c r="B1044" s="11" t="s">
        <v>500</v>
      </c>
      <c r="C1044" s="139" t="s">
        <v>501</v>
      </c>
      <c r="D1044" s="140"/>
      <c r="E1044" s="11" t="s">
        <v>102</v>
      </c>
      <c r="F1044" s="12">
        <v>2</v>
      </c>
      <c r="G1044" s="12">
        <v>412.2</v>
      </c>
      <c r="H1044" s="12">
        <v>525.92999999999995</v>
      </c>
      <c r="I1044" s="13">
        <f t="shared" si="92"/>
        <v>824.4</v>
      </c>
      <c r="J1044" s="13">
        <f t="shared" si="93"/>
        <v>1051.8599999999999</v>
      </c>
    </row>
    <row r="1045" spans="1:10" s="1" customFormat="1" ht="25.5" customHeight="1" x14ac:dyDescent="0.2">
      <c r="A1045" s="10">
        <v>72739</v>
      </c>
      <c r="B1045" s="11" t="s">
        <v>502</v>
      </c>
      <c r="C1045" s="139" t="s">
        <v>503</v>
      </c>
      <c r="D1045" s="140"/>
      <c r="E1045" s="11" t="s">
        <v>102</v>
      </c>
      <c r="F1045" s="12">
        <v>12</v>
      </c>
      <c r="G1045" s="12">
        <v>348.66</v>
      </c>
      <c r="H1045" s="12">
        <v>444.86</v>
      </c>
      <c r="I1045" s="13">
        <f t="shared" si="92"/>
        <v>4183.92</v>
      </c>
      <c r="J1045" s="13">
        <f t="shared" si="93"/>
        <v>5338.32</v>
      </c>
    </row>
    <row r="1046" spans="1:10" s="1" customFormat="1" ht="25.5" customHeight="1" x14ac:dyDescent="0.2">
      <c r="A1046" s="10">
        <v>95469</v>
      </c>
      <c r="B1046" s="11" t="s">
        <v>504</v>
      </c>
      <c r="C1046" s="139" t="s">
        <v>505</v>
      </c>
      <c r="D1046" s="140"/>
      <c r="E1046" s="11" t="s">
        <v>102</v>
      </c>
      <c r="F1046" s="12">
        <v>9</v>
      </c>
      <c r="G1046" s="12">
        <v>153.37</v>
      </c>
      <c r="H1046" s="12">
        <v>195.68</v>
      </c>
      <c r="I1046" s="13">
        <f t="shared" si="92"/>
        <v>1380.33</v>
      </c>
      <c r="J1046" s="13">
        <f t="shared" si="93"/>
        <v>1761.1200000000001</v>
      </c>
    </row>
    <row r="1047" spans="1:10" s="1" customFormat="1" ht="25.5" customHeight="1" x14ac:dyDescent="0.2">
      <c r="A1047" s="11" t="s">
        <v>78</v>
      </c>
      <c r="B1047" s="11" t="s">
        <v>506</v>
      </c>
      <c r="C1047" s="139" t="s">
        <v>507</v>
      </c>
      <c r="D1047" s="140"/>
      <c r="E1047" s="11" t="s">
        <v>102</v>
      </c>
      <c r="F1047" s="12">
        <v>2</v>
      </c>
      <c r="G1047" s="12">
        <v>62.01</v>
      </c>
      <c r="H1047" s="12">
        <v>79.12</v>
      </c>
      <c r="I1047" s="13">
        <f t="shared" si="92"/>
        <v>124.02</v>
      </c>
      <c r="J1047" s="13">
        <f t="shared" si="93"/>
        <v>158.24</v>
      </c>
    </row>
    <row r="1048" spans="1:10" s="1" customFormat="1" ht="25.5" customHeight="1" x14ac:dyDescent="0.2">
      <c r="A1048" s="11" t="s">
        <v>78</v>
      </c>
      <c r="B1048" s="11" t="s">
        <v>508</v>
      </c>
      <c r="C1048" s="139" t="s">
        <v>509</v>
      </c>
      <c r="D1048" s="140"/>
      <c r="E1048" s="11" t="s">
        <v>102</v>
      </c>
      <c r="F1048" s="12">
        <v>12</v>
      </c>
      <c r="G1048" s="12">
        <v>47.22</v>
      </c>
      <c r="H1048" s="12">
        <v>60.25</v>
      </c>
      <c r="I1048" s="13">
        <f t="shared" si="92"/>
        <v>566.64</v>
      </c>
      <c r="J1048" s="13">
        <f t="shared" si="93"/>
        <v>723</v>
      </c>
    </row>
    <row r="1049" spans="1:10" s="1" customFormat="1" ht="25.5" customHeight="1" x14ac:dyDescent="0.2">
      <c r="A1049" s="11" t="s">
        <v>510</v>
      </c>
      <c r="B1049" s="11" t="s">
        <v>511</v>
      </c>
      <c r="C1049" s="139" t="s">
        <v>512</v>
      </c>
      <c r="D1049" s="140"/>
      <c r="E1049" s="11" t="s">
        <v>102</v>
      </c>
      <c r="F1049" s="12">
        <v>9</v>
      </c>
      <c r="G1049" s="12">
        <v>30.39</v>
      </c>
      <c r="H1049" s="12">
        <v>38.78</v>
      </c>
      <c r="I1049" s="13">
        <f t="shared" si="92"/>
        <v>273.51</v>
      </c>
      <c r="J1049" s="13">
        <f t="shared" si="93"/>
        <v>349.02</v>
      </c>
    </row>
    <row r="1050" spans="1:10" s="1" customFormat="1" ht="25.5" customHeight="1" x14ac:dyDescent="0.2">
      <c r="A1050" s="11" t="s">
        <v>308</v>
      </c>
      <c r="B1050" s="11" t="s">
        <v>513</v>
      </c>
      <c r="C1050" s="139" t="s">
        <v>514</v>
      </c>
      <c r="D1050" s="140"/>
      <c r="E1050" s="11" t="s">
        <v>102</v>
      </c>
      <c r="F1050" s="12">
        <v>2</v>
      </c>
      <c r="G1050" s="12">
        <v>224.79</v>
      </c>
      <c r="H1050" s="12">
        <v>286.81</v>
      </c>
      <c r="I1050" s="13">
        <f t="shared" si="92"/>
        <v>449.58</v>
      </c>
      <c r="J1050" s="13">
        <f t="shared" si="93"/>
        <v>573.62</v>
      </c>
    </row>
    <row r="1051" spans="1:10" s="1" customFormat="1" ht="25.5" customHeight="1" x14ac:dyDescent="0.2">
      <c r="A1051" s="11" t="s">
        <v>308</v>
      </c>
      <c r="B1051" s="11" t="s">
        <v>515</v>
      </c>
      <c r="C1051" s="139" t="s">
        <v>516</v>
      </c>
      <c r="D1051" s="140"/>
      <c r="E1051" s="11" t="s">
        <v>102</v>
      </c>
      <c r="F1051" s="12">
        <v>8</v>
      </c>
      <c r="G1051" s="12">
        <v>170.36</v>
      </c>
      <c r="H1051" s="12">
        <v>217.36</v>
      </c>
      <c r="I1051" s="13">
        <f t="shared" si="92"/>
        <v>1362.88</v>
      </c>
      <c r="J1051" s="13">
        <f t="shared" si="93"/>
        <v>1738.88</v>
      </c>
    </row>
    <row r="1052" spans="1:10" s="1" customFormat="1" ht="25.5" customHeight="1" x14ac:dyDescent="0.2">
      <c r="A1052" s="11" t="s">
        <v>308</v>
      </c>
      <c r="B1052" s="11" t="s">
        <v>517</v>
      </c>
      <c r="C1052" s="139" t="s">
        <v>518</v>
      </c>
      <c r="D1052" s="140"/>
      <c r="E1052" s="11" t="s">
        <v>102</v>
      </c>
      <c r="F1052" s="12">
        <v>4</v>
      </c>
      <c r="G1052" s="12">
        <v>108</v>
      </c>
      <c r="H1052" s="12">
        <v>137.80000000000001</v>
      </c>
      <c r="I1052" s="13">
        <f t="shared" si="92"/>
        <v>432</v>
      </c>
      <c r="J1052" s="13">
        <f t="shared" si="93"/>
        <v>551.20000000000005</v>
      </c>
    </row>
    <row r="1053" spans="1:10" s="1" customFormat="1" ht="25.5" customHeight="1" x14ac:dyDescent="0.2">
      <c r="A1053" s="11" t="s">
        <v>308</v>
      </c>
      <c r="B1053" s="11" t="s">
        <v>519</v>
      </c>
      <c r="C1053" s="139" t="s">
        <v>520</v>
      </c>
      <c r="D1053" s="140"/>
      <c r="E1053" s="11" t="s">
        <v>102</v>
      </c>
      <c r="F1053" s="12">
        <v>1</v>
      </c>
      <c r="G1053" s="13">
        <v>1249</v>
      </c>
      <c r="H1053" s="13">
        <v>1593.6</v>
      </c>
      <c r="I1053" s="13">
        <f t="shared" si="92"/>
        <v>1249</v>
      </c>
      <c r="J1053" s="13">
        <f t="shared" si="93"/>
        <v>1593.6</v>
      </c>
    </row>
    <row r="1054" spans="1:10" s="1" customFormat="1" ht="25.5" customHeight="1" x14ac:dyDescent="0.2">
      <c r="A1054" s="10">
        <v>86909</v>
      </c>
      <c r="B1054" s="11" t="s">
        <v>521</v>
      </c>
      <c r="C1054" s="139" t="s">
        <v>522</v>
      </c>
      <c r="D1054" s="140"/>
      <c r="E1054" s="11" t="s">
        <v>102</v>
      </c>
      <c r="F1054" s="12">
        <v>7</v>
      </c>
      <c r="G1054" s="12">
        <v>74.2</v>
      </c>
      <c r="H1054" s="12">
        <v>94.67</v>
      </c>
      <c r="I1054" s="13">
        <f t="shared" si="92"/>
        <v>519.4</v>
      </c>
      <c r="J1054" s="13">
        <f t="shared" si="93"/>
        <v>662.69</v>
      </c>
    </row>
    <row r="1055" spans="1:10" s="1" customFormat="1" ht="25.5" customHeight="1" x14ac:dyDescent="0.2">
      <c r="A1055" s="10">
        <v>86911</v>
      </c>
      <c r="B1055" s="11" t="s">
        <v>523</v>
      </c>
      <c r="C1055" s="139" t="s">
        <v>524</v>
      </c>
      <c r="D1055" s="140"/>
      <c r="E1055" s="11" t="s">
        <v>102</v>
      </c>
      <c r="F1055" s="12">
        <v>14</v>
      </c>
      <c r="G1055" s="12">
        <v>31.64</v>
      </c>
      <c r="H1055" s="12">
        <v>40.369999999999997</v>
      </c>
      <c r="I1055" s="13">
        <f t="shared" si="92"/>
        <v>442.96000000000004</v>
      </c>
      <c r="J1055" s="13">
        <f t="shared" si="93"/>
        <v>565.17999999999995</v>
      </c>
    </row>
    <row r="1056" spans="1:10" s="1" customFormat="1" ht="25.5" customHeight="1" x14ac:dyDescent="0.2">
      <c r="A1056" s="10">
        <v>86915</v>
      </c>
      <c r="B1056" s="11" t="s">
        <v>525</v>
      </c>
      <c r="C1056" s="139" t="s">
        <v>526</v>
      </c>
      <c r="D1056" s="140"/>
      <c r="E1056" s="11" t="s">
        <v>102</v>
      </c>
      <c r="F1056" s="12">
        <v>5</v>
      </c>
      <c r="G1056" s="12">
        <v>62.36</v>
      </c>
      <c r="H1056" s="12">
        <v>79.569999999999993</v>
      </c>
      <c r="I1056" s="13">
        <f t="shared" si="92"/>
        <v>311.8</v>
      </c>
      <c r="J1056" s="13">
        <f t="shared" si="93"/>
        <v>397.84999999999997</v>
      </c>
    </row>
    <row r="1057" spans="1:10" s="1" customFormat="1" ht="25.5" customHeight="1" x14ac:dyDescent="0.2">
      <c r="A1057" s="11" t="s">
        <v>527</v>
      </c>
      <c r="B1057" s="11" t="s">
        <v>528</v>
      </c>
      <c r="C1057" s="139" t="s">
        <v>529</v>
      </c>
      <c r="D1057" s="140"/>
      <c r="E1057" s="11" t="s">
        <v>102</v>
      </c>
      <c r="F1057" s="12">
        <v>3</v>
      </c>
      <c r="G1057" s="12">
        <v>100.46</v>
      </c>
      <c r="H1057" s="12">
        <v>128.16999999999999</v>
      </c>
      <c r="I1057" s="13">
        <f t="shared" si="92"/>
        <v>301.38</v>
      </c>
      <c r="J1057" s="13">
        <f t="shared" si="93"/>
        <v>384.51</v>
      </c>
    </row>
    <row r="1058" spans="1:10" s="1" customFormat="1" ht="25.5" customHeight="1" x14ac:dyDescent="0.2">
      <c r="A1058" s="10">
        <v>86910</v>
      </c>
      <c r="B1058" s="11" t="s">
        <v>530</v>
      </c>
      <c r="C1058" s="139" t="s">
        <v>531</v>
      </c>
      <c r="D1058" s="140"/>
      <c r="E1058" s="11" t="s">
        <v>102</v>
      </c>
      <c r="F1058" s="12">
        <v>4</v>
      </c>
      <c r="G1058" s="12">
        <v>71</v>
      </c>
      <c r="H1058" s="12">
        <v>90.59</v>
      </c>
      <c r="I1058" s="13">
        <f t="shared" si="92"/>
        <v>284</v>
      </c>
      <c r="J1058" s="13">
        <f t="shared" si="93"/>
        <v>362.36</v>
      </c>
    </row>
    <row r="1059" spans="1:10" s="1" customFormat="1" ht="25.5" customHeight="1" x14ac:dyDescent="0.2">
      <c r="A1059" s="10">
        <v>86906</v>
      </c>
      <c r="B1059" s="11" t="s">
        <v>532</v>
      </c>
      <c r="C1059" s="139" t="s">
        <v>533</v>
      </c>
      <c r="D1059" s="140"/>
      <c r="E1059" s="11" t="s">
        <v>102</v>
      </c>
      <c r="F1059" s="12">
        <v>7</v>
      </c>
      <c r="G1059" s="12">
        <v>37.18</v>
      </c>
      <c r="H1059" s="12">
        <v>47.44</v>
      </c>
      <c r="I1059" s="13">
        <f t="shared" si="92"/>
        <v>260.26</v>
      </c>
      <c r="J1059" s="13">
        <f t="shared" si="93"/>
        <v>332.08</v>
      </c>
    </row>
    <row r="1060" spans="1:10" s="1" customFormat="1" ht="25.5" customHeight="1" x14ac:dyDescent="0.2">
      <c r="A1060" s="10">
        <v>86913</v>
      </c>
      <c r="B1060" s="11" t="s">
        <v>534</v>
      </c>
      <c r="C1060" s="139" t="s">
        <v>535</v>
      </c>
      <c r="D1060" s="140"/>
      <c r="E1060" s="11" t="s">
        <v>102</v>
      </c>
      <c r="F1060" s="12">
        <v>6</v>
      </c>
      <c r="G1060" s="12">
        <v>14.42</v>
      </c>
      <c r="H1060" s="12">
        <v>18.399999999999999</v>
      </c>
      <c r="I1060" s="13">
        <f t="shared" si="92"/>
        <v>86.52</v>
      </c>
      <c r="J1060" s="13">
        <f t="shared" si="93"/>
        <v>110.39999999999999</v>
      </c>
    </row>
    <row r="1061" spans="1:10" s="1" customFormat="1" ht="25.5" customHeight="1" x14ac:dyDescent="0.2">
      <c r="A1061" s="11" t="s">
        <v>536</v>
      </c>
      <c r="B1061" s="11" t="s">
        <v>537</v>
      </c>
      <c r="C1061" s="139" t="s">
        <v>538</v>
      </c>
      <c r="D1061" s="140"/>
      <c r="E1061" s="11" t="s">
        <v>102</v>
      </c>
      <c r="F1061" s="12">
        <v>11</v>
      </c>
      <c r="G1061" s="12">
        <v>22.57</v>
      </c>
      <c r="H1061" s="12">
        <v>28.8</v>
      </c>
      <c r="I1061" s="13">
        <f t="shared" si="92"/>
        <v>248.27</v>
      </c>
      <c r="J1061" s="13">
        <f t="shared" si="93"/>
        <v>316.8</v>
      </c>
    </row>
    <row r="1062" spans="1:10" s="1" customFormat="1" ht="25.5" customHeight="1" x14ac:dyDescent="0.2">
      <c r="A1062" s="10">
        <v>94796</v>
      </c>
      <c r="B1062" s="11" t="s">
        <v>539</v>
      </c>
      <c r="C1062" s="139" t="s">
        <v>540</v>
      </c>
      <c r="D1062" s="140"/>
      <c r="E1062" s="11" t="s">
        <v>102</v>
      </c>
      <c r="F1062" s="12">
        <v>1</v>
      </c>
      <c r="G1062" s="12">
        <v>26.75</v>
      </c>
      <c r="H1062" s="12">
        <v>34.130000000000003</v>
      </c>
      <c r="I1062" s="13">
        <f t="shared" si="92"/>
        <v>26.75</v>
      </c>
      <c r="J1062" s="13">
        <f t="shared" si="93"/>
        <v>34.130000000000003</v>
      </c>
    </row>
    <row r="1063" spans="1:10" s="1" customFormat="1" ht="25.5" customHeight="1" x14ac:dyDescent="0.2">
      <c r="A1063" s="10">
        <v>89985</v>
      </c>
      <c r="B1063" s="11" t="s">
        <v>541</v>
      </c>
      <c r="C1063" s="139" t="s">
        <v>542</v>
      </c>
      <c r="D1063" s="140"/>
      <c r="E1063" s="11" t="s">
        <v>102</v>
      </c>
      <c r="F1063" s="12">
        <v>19</v>
      </c>
      <c r="G1063" s="12">
        <v>61.1</v>
      </c>
      <c r="H1063" s="12">
        <v>77.959999999999994</v>
      </c>
      <c r="I1063" s="13">
        <f t="shared" si="92"/>
        <v>1160.9000000000001</v>
      </c>
      <c r="J1063" s="13">
        <f t="shared" si="93"/>
        <v>1481.2399999999998</v>
      </c>
    </row>
    <row r="1064" spans="1:10" s="1" customFormat="1" ht="25.5" customHeight="1" x14ac:dyDescent="0.2">
      <c r="A1064" s="10">
        <v>89351</v>
      </c>
      <c r="B1064" s="11" t="s">
        <v>543</v>
      </c>
      <c r="C1064" s="139" t="s">
        <v>544</v>
      </c>
      <c r="D1064" s="140"/>
      <c r="E1064" s="11" t="s">
        <v>102</v>
      </c>
      <c r="F1064" s="12">
        <v>5</v>
      </c>
      <c r="G1064" s="12">
        <v>24.75</v>
      </c>
      <c r="H1064" s="12">
        <v>31.58</v>
      </c>
      <c r="I1064" s="13">
        <f t="shared" si="92"/>
        <v>123.75</v>
      </c>
      <c r="J1064" s="13">
        <f t="shared" si="93"/>
        <v>157.89999999999998</v>
      </c>
    </row>
    <row r="1065" spans="1:10" s="1" customFormat="1" ht="25.5" customHeight="1" x14ac:dyDescent="0.2">
      <c r="A1065" s="11" t="s">
        <v>545</v>
      </c>
      <c r="B1065" s="11" t="s">
        <v>546</v>
      </c>
      <c r="C1065" s="139" t="s">
        <v>547</v>
      </c>
      <c r="D1065" s="140"/>
      <c r="E1065" s="11" t="s">
        <v>102</v>
      </c>
      <c r="F1065" s="12">
        <v>8</v>
      </c>
      <c r="G1065" s="12">
        <v>40.06</v>
      </c>
      <c r="H1065" s="12">
        <v>51.11</v>
      </c>
      <c r="I1065" s="13">
        <f t="shared" si="92"/>
        <v>320.48</v>
      </c>
      <c r="J1065" s="13">
        <f t="shared" si="93"/>
        <v>408.88</v>
      </c>
    </row>
    <row r="1066" spans="1:10" s="1" customFormat="1" ht="25.5" customHeight="1" x14ac:dyDescent="0.2">
      <c r="A1066" s="11" t="s">
        <v>548</v>
      </c>
      <c r="B1066" s="11" t="s">
        <v>549</v>
      </c>
      <c r="C1066" s="139" t="s">
        <v>550</v>
      </c>
      <c r="D1066" s="140"/>
      <c r="E1066" s="11" t="s">
        <v>102</v>
      </c>
      <c r="F1066" s="12">
        <v>6</v>
      </c>
      <c r="G1066" s="12">
        <v>71.88</v>
      </c>
      <c r="H1066" s="12">
        <v>91.72</v>
      </c>
      <c r="I1066" s="13">
        <f t="shared" si="92"/>
        <v>431.28</v>
      </c>
      <c r="J1066" s="13">
        <f t="shared" si="93"/>
        <v>550.31999999999994</v>
      </c>
    </row>
    <row r="1067" spans="1:10" s="1" customFormat="1" ht="25.5" customHeight="1" x14ac:dyDescent="0.2">
      <c r="A1067" s="11" t="s">
        <v>551</v>
      </c>
      <c r="B1067" s="11" t="s">
        <v>552</v>
      </c>
      <c r="C1067" s="139" t="s">
        <v>553</v>
      </c>
      <c r="D1067" s="140"/>
      <c r="E1067" s="11" t="s">
        <v>102</v>
      </c>
      <c r="F1067" s="12">
        <v>5</v>
      </c>
      <c r="G1067" s="12">
        <v>267.62</v>
      </c>
      <c r="H1067" s="12">
        <v>341.45</v>
      </c>
      <c r="I1067" s="13">
        <f t="shared" si="92"/>
        <v>1338.1</v>
      </c>
      <c r="J1067" s="13">
        <f t="shared" si="93"/>
        <v>1707.25</v>
      </c>
    </row>
    <row r="1068" spans="1:10" s="1" customFormat="1" ht="25.5" customHeight="1" x14ac:dyDescent="0.2">
      <c r="A1068" s="10">
        <v>89987</v>
      </c>
      <c r="B1068" s="11" t="s">
        <v>554</v>
      </c>
      <c r="C1068" s="139" t="s">
        <v>555</v>
      </c>
      <c r="D1068" s="140"/>
      <c r="E1068" s="11" t="s">
        <v>102</v>
      </c>
      <c r="F1068" s="12">
        <v>39</v>
      </c>
      <c r="G1068" s="12">
        <v>64.260000000000005</v>
      </c>
      <c r="H1068" s="12">
        <v>81.99</v>
      </c>
      <c r="I1068" s="13">
        <f t="shared" si="92"/>
        <v>2506.1400000000003</v>
      </c>
      <c r="J1068" s="13">
        <f t="shared" si="93"/>
        <v>3197.6099999999997</v>
      </c>
    </row>
    <row r="1069" spans="1:10" s="1" customFormat="1" ht="25.5" customHeight="1" x14ac:dyDescent="0.2">
      <c r="A1069" s="10">
        <v>94792</v>
      </c>
      <c r="B1069" s="11" t="s">
        <v>556</v>
      </c>
      <c r="C1069" s="139" t="s">
        <v>557</v>
      </c>
      <c r="D1069" s="140"/>
      <c r="E1069" s="11" t="s">
        <v>102</v>
      </c>
      <c r="F1069" s="12">
        <v>10</v>
      </c>
      <c r="G1069" s="12">
        <v>92.77</v>
      </c>
      <c r="H1069" s="12">
        <v>118.37</v>
      </c>
      <c r="I1069" s="13">
        <f t="shared" si="92"/>
        <v>927.69999999999993</v>
      </c>
      <c r="J1069" s="13">
        <f t="shared" si="93"/>
        <v>1183.7</v>
      </c>
    </row>
    <row r="1070" spans="1:10" s="1" customFormat="1" ht="25.5" customHeight="1" x14ac:dyDescent="0.2">
      <c r="A1070" s="10">
        <v>94794</v>
      </c>
      <c r="B1070" s="11" t="s">
        <v>558</v>
      </c>
      <c r="C1070" s="139" t="s">
        <v>559</v>
      </c>
      <c r="D1070" s="140"/>
      <c r="E1070" s="11" t="s">
        <v>102</v>
      </c>
      <c r="F1070" s="12">
        <v>12</v>
      </c>
      <c r="G1070" s="12">
        <v>124.23</v>
      </c>
      <c r="H1070" s="12">
        <v>158.5</v>
      </c>
      <c r="I1070" s="13">
        <f t="shared" si="92"/>
        <v>1490.76</v>
      </c>
      <c r="J1070" s="13">
        <f t="shared" si="93"/>
        <v>1902</v>
      </c>
    </row>
    <row r="1071" spans="1:10" s="1" customFormat="1" ht="25.5" customHeight="1" x14ac:dyDescent="0.2">
      <c r="A1071" s="11" t="s">
        <v>78</v>
      </c>
      <c r="B1071" s="11" t="s">
        <v>560</v>
      </c>
      <c r="C1071" s="139" t="s">
        <v>561</v>
      </c>
      <c r="D1071" s="140"/>
      <c r="E1071" s="11" t="s">
        <v>102</v>
      </c>
      <c r="F1071" s="12">
        <v>11</v>
      </c>
      <c r="G1071" s="12">
        <v>20.3</v>
      </c>
      <c r="H1071" s="12">
        <v>25.91</v>
      </c>
      <c r="I1071" s="13">
        <f t="shared" si="92"/>
        <v>223.3</v>
      </c>
      <c r="J1071" s="13">
        <f t="shared" si="93"/>
        <v>285.01</v>
      </c>
    </row>
    <row r="1072" spans="1:10" s="1" customFormat="1" ht="25.5" customHeight="1" x14ac:dyDescent="0.2">
      <c r="A1072" s="11" t="s">
        <v>78</v>
      </c>
      <c r="B1072" s="11" t="s">
        <v>562</v>
      </c>
      <c r="C1072" s="139" t="s">
        <v>563</v>
      </c>
      <c r="D1072" s="140"/>
      <c r="E1072" s="11" t="s">
        <v>102</v>
      </c>
      <c r="F1072" s="12">
        <v>7</v>
      </c>
      <c r="G1072" s="12">
        <v>25.99</v>
      </c>
      <c r="H1072" s="12">
        <v>33.159999999999997</v>
      </c>
      <c r="I1072" s="13">
        <f t="shared" si="92"/>
        <v>181.92999999999998</v>
      </c>
      <c r="J1072" s="13">
        <f t="shared" si="93"/>
        <v>232.11999999999998</v>
      </c>
    </row>
    <row r="1073" spans="1:10" s="1" customFormat="1" ht="25.5" customHeight="1" x14ac:dyDescent="0.2">
      <c r="A1073" s="10">
        <v>9535</v>
      </c>
      <c r="B1073" s="11" t="s">
        <v>564</v>
      </c>
      <c r="C1073" s="139" t="s">
        <v>565</v>
      </c>
      <c r="D1073" s="140"/>
      <c r="E1073" s="11" t="s">
        <v>102</v>
      </c>
      <c r="F1073" s="12">
        <v>12</v>
      </c>
      <c r="G1073" s="12">
        <v>56.12</v>
      </c>
      <c r="H1073" s="12">
        <v>71.599999999999994</v>
      </c>
      <c r="I1073" s="13">
        <f t="shared" si="92"/>
        <v>673.43999999999994</v>
      </c>
      <c r="J1073" s="13">
        <f t="shared" si="93"/>
        <v>859.19999999999993</v>
      </c>
    </row>
    <row r="1074" spans="1:10" s="1" customFormat="1" ht="25.5" customHeight="1" x14ac:dyDescent="0.2">
      <c r="A1074" s="11" t="s">
        <v>308</v>
      </c>
      <c r="B1074" s="11" t="s">
        <v>566</v>
      </c>
      <c r="C1074" s="139" t="s">
        <v>567</v>
      </c>
      <c r="D1074" s="140"/>
      <c r="E1074" s="11" t="s">
        <v>102</v>
      </c>
      <c r="F1074" s="12">
        <v>4</v>
      </c>
      <c r="G1074" s="12">
        <v>40.85</v>
      </c>
      <c r="H1074" s="12">
        <v>52.12</v>
      </c>
      <c r="I1074" s="13">
        <f t="shared" si="92"/>
        <v>163.4</v>
      </c>
      <c r="J1074" s="13">
        <f t="shared" si="93"/>
        <v>208.48</v>
      </c>
    </row>
    <row r="1075" spans="1:10" s="1" customFormat="1" ht="25.5" customHeight="1" x14ac:dyDescent="0.2">
      <c r="A1075" s="10">
        <v>9535</v>
      </c>
      <c r="B1075" s="11" t="s">
        <v>568</v>
      </c>
      <c r="C1075" s="139" t="s">
        <v>569</v>
      </c>
      <c r="D1075" s="140"/>
      <c r="E1075" s="11" t="s">
        <v>102</v>
      </c>
      <c r="F1075" s="12">
        <v>4</v>
      </c>
      <c r="G1075" s="12">
        <v>56.21</v>
      </c>
      <c r="H1075" s="12">
        <v>71.709999999999994</v>
      </c>
      <c r="I1075" s="13">
        <f t="shared" si="92"/>
        <v>224.84</v>
      </c>
      <c r="J1075" s="13">
        <f t="shared" si="93"/>
        <v>286.83999999999997</v>
      </c>
    </row>
    <row r="1076" spans="1:10" s="1" customFormat="1" ht="25.5" customHeight="1" x14ac:dyDescent="0.2">
      <c r="A1076" s="11" t="s">
        <v>78</v>
      </c>
      <c r="B1076" s="11" t="s">
        <v>570</v>
      </c>
      <c r="C1076" s="139" t="s">
        <v>571</v>
      </c>
      <c r="D1076" s="140"/>
      <c r="E1076" s="11" t="s">
        <v>102</v>
      </c>
      <c r="F1076" s="12">
        <v>5</v>
      </c>
      <c r="G1076" s="12">
        <v>132.01</v>
      </c>
      <c r="H1076" s="12">
        <v>168.43</v>
      </c>
      <c r="I1076" s="13">
        <f t="shared" si="92"/>
        <v>660.05</v>
      </c>
      <c r="J1076" s="13">
        <f t="shared" si="93"/>
        <v>842.15000000000009</v>
      </c>
    </row>
    <row r="1077" spans="1:10" s="1" customFormat="1" ht="25.5" customHeight="1" x14ac:dyDescent="0.2">
      <c r="A1077" s="10">
        <v>40729</v>
      </c>
      <c r="B1077" s="11" t="s">
        <v>572</v>
      </c>
      <c r="C1077" s="139" t="s">
        <v>573</v>
      </c>
      <c r="D1077" s="140"/>
      <c r="E1077" s="11" t="s">
        <v>102</v>
      </c>
      <c r="F1077" s="12">
        <v>23</v>
      </c>
      <c r="G1077" s="12">
        <v>218.15</v>
      </c>
      <c r="H1077" s="12">
        <v>278.33999999999997</v>
      </c>
      <c r="I1077" s="13">
        <f t="shared" si="92"/>
        <v>5017.45</v>
      </c>
      <c r="J1077" s="13">
        <f t="shared" si="93"/>
        <v>6401.82</v>
      </c>
    </row>
    <row r="1078" spans="1:10" s="1" customFormat="1" ht="25.5" customHeight="1" x14ac:dyDescent="0.2">
      <c r="A1078" s="11" t="s">
        <v>308</v>
      </c>
      <c r="B1078" s="11" t="s">
        <v>574</v>
      </c>
      <c r="C1078" s="139" t="s">
        <v>575</v>
      </c>
      <c r="D1078" s="140"/>
      <c r="E1078" s="11" t="s">
        <v>102</v>
      </c>
      <c r="F1078" s="12">
        <v>1</v>
      </c>
      <c r="G1078" s="13">
        <v>5800</v>
      </c>
      <c r="H1078" s="13">
        <v>7400.22</v>
      </c>
      <c r="I1078" s="13">
        <f t="shared" si="92"/>
        <v>5800</v>
      </c>
      <c r="J1078" s="13">
        <f t="shared" si="93"/>
        <v>7400.22</v>
      </c>
    </row>
    <row r="1079" spans="1:10" s="1" customFormat="1" ht="25.5" customHeight="1" x14ac:dyDescent="0.2">
      <c r="A1079" s="11" t="s">
        <v>308</v>
      </c>
      <c r="B1079" s="11" t="s">
        <v>576</v>
      </c>
      <c r="C1079" s="139" t="s">
        <v>577</v>
      </c>
      <c r="D1079" s="140"/>
      <c r="E1079" s="11" t="s">
        <v>102</v>
      </c>
      <c r="F1079" s="12">
        <v>23</v>
      </c>
      <c r="G1079" s="12">
        <v>7.69</v>
      </c>
      <c r="H1079" s="12">
        <v>9.81</v>
      </c>
      <c r="I1079" s="13">
        <f t="shared" si="92"/>
        <v>176.87</v>
      </c>
      <c r="J1079" s="13">
        <f t="shared" si="93"/>
        <v>225.63000000000002</v>
      </c>
    </row>
    <row r="1080" spans="1:10" s="1" customFormat="1" ht="25.5" customHeight="1" x14ac:dyDescent="0.2">
      <c r="A1080" s="11" t="s">
        <v>578</v>
      </c>
      <c r="B1080" s="11" t="s">
        <v>579</v>
      </c>
      <c r="C1080" s="139" t="s">
        <v>580</v>
      </c>
      <c r="D1080" s="140"/>
      <c r="E1080" s="11" t="s">
        <v>102</v>
      </c>
      <c r="F1080" s="12">
        <v>1</v>
      </c>
      <c r="G1080" s="12">
        <v>7.69</v>
      </c>
      <c r="H1080" s="12">
        <v>9.81</v>
      </c>
      <c r="I1080" s="13">
        <f t="shared" si="92"/>
        <v>7.69</v>
      </c>
      <c r="J1080" s="13">
        <f t="shared" si="93"/>
        <v>9.81</v>
      </c>
    </row>
    <row r="1081" spans="1:10" s="1" customFormat="1" ht="25.5" customHeight="1" x14ac:dyDescent="0.2">
      <c r="A1081" s="11" t="s">
        <v>581</v>
      </c>
      <c r="B1081" s="11" t="s">
        <v>582</v>
      </c>
      <c r="C1081" s="139" t="s">
        <v>583</v>
      </c>
      <c r="D1081" s="140"/>
      <c r="E1081" s="11" t="s">
        <v>102</v>
      </c>
      <c r="F1081" s="12">
        <v>1</v>
      </c>
      <c r="G1081" s="12">
        <v>44.58</v>
      </c>
      <c r="H1081" s="12">
        <v>56.88</v>
      </c>
      <c r="I1081" s="13">
        <f t="shared" si="92"/>
        <v>44.58</v>
      </c>
      <c r="J1081" s="13">
        <f t="shared" si="93"/>
        <v>56.88</v>
      </c>
    </row>
    <row r="1082" spans="1:10" s="1" customFormat="1" ht="25.5" customHeight="1" x14ac:dyDescent="0.2">
      <c r="A1082" s="11" t="s">
        <v>584</v>
      </c>
      <c r="B1082" s="11" t="s">
        <v>585</v>
      </c>
      <c r="C1082" s="139" t="s">
        <v>586</v>
      </c>
      <c r="D1082" s="140"/>
      <c r="E1082" s="11" t="s">
        <v>102</v>
      </c>
      <c r="F1082" s="12">
        <v>9</v>
      </c>
      <c r="G1082" s="12">
        <v>95.78</v>
      </c>
      <c r="H1082" s="12">
        <v>122.2</v>
      </c>
      <c r="I1082" s="13">
        <f t="shared" si="92"/>
        <v>862.02</v>
      </c>
      <c r="J1082" s="13">
        <f t="shared" si="93"/>
        <v>1099.8</v>
      </c>
    </row>
    <row r="1083" spans="1:10" s="1" customFormat="1" ht="25.5" customHeight="1" x14ac:dyDescent="0.2">
      <c r="A1083" s="11" t="s">
        <v>78</v>
      </c>
      <c r="B1083" s="11" t="s">
        <v>587</v>
      </c>
      <c r="C1083" s="139" t="s">
        <v>588</v>
      </c>
      <c r="D1083" s="140"/>
      <c r="E1083" s="11" t="s">
        <v>102</v>
      </c>
      <c r="F1083" s="12">
        <v>1</v>
      </c>
      <c r="G1083" s="13">
        <v>1067.05</v>
      </c>
      <c r="H1083" s="13">
        <v>1361.45</v>
      </c>
      <c r="I1083" s="13">
        <f t="shared" si="92"/>
        <v>1067.05</v>
      </c>
      <c r="J1083" s="13">
        <f t="shared" si="93"/>
        <v>1361.45</v>
      </c>
    </row>
    <row r="1084" spans="1:10" s="1" customFormat="1" ht="25.5" customHeight="1" x14ac:dyDescent="0.2">
      <c r="A1084" s="11" t="s">
        <v>308</v>
      </c>
      <c r="B1084" s="11" t="s">
        <v>589</v>
      </c>
      <c r="C1084" s="139" t="s">
        <v>590</v>
      </c>
      <c r="D1084" s="140"/>
      <c r="E1084" s="11" t="s">
        <v>102</v>
      </c>
      <c r="F1084" s="12">
        <v>9</v>
      </c>
      <c r="G1084" s="12">
        <v>49.99</v>
      </c>
      <c r="H1084" s="12">
        <v>63.78</v>
      </c>
      <c r="I1084" s="13">
        <f t="shared" si="92"/>
        <v>449.91</v>
      </c>
      <c r="J1084" s="13">
        <f t="shared" si="93"/>
        <v>574.02</v>
      </c>
    </row>
    <row r="1085" spans="1:10" s="1" customFormat="1" ht="25.5" customHeight="1" x14ac:dyDescent="0.2">
      <c r="A1085" s="11" t="s">
        <v>308</v>
      </c>
      <c r="B1085" s="11" t="s">
        <v>591</v>
      </c>
      <c r="C1085" s="139" t="s">
        <v>592</v>
      </c>
      <c r="D1085" s="140"/>
      <c r="E1085" s="11" t="s">
        <v>102</v>
      </c>
      <c r="F1085" s="12">
        <v>2</v>
      </c>
      <c r="G1085" s="12">
        <v>205.99</v>
      </c>
      <c r="H1085" s="12">
        <v>262.82</v>
      </c>
      <c r="I1085" s="13">
        <f t="shared" si="92"/>
        <v>411.98</v>
      </c>
      <c r="J1085" s="13">
        <f t="shared" si="93"/>
        <v>525.64</v>
      </c>
    </row>
    <row r="1086" spans="1:10" s="1" customFormat="1" ht="25.5" customHeight="1" x14ac:dyDescent="0.2">
      <c r="A1086" s="11" t="s">
        <v>308</v>
      </c>
      <c r="B1086" s="11" t="s">
        <v>593</v>
      </c>
      <c r="C1086" s="139" t="s">
        <v>594</v>
      </c>
      <c r="D1086" s="140"/>
      <c r="E1086" s="11" t="s">
        <v>102</v>
      </c>
      <c r="F1086" s="12">
        <v>6</v>
      </c>
      <c r="G1086" s="12">
        <v>0.17</v>
      </c>
      <c r="H1086" s="12">
        <v>0.22</v>
      </c>
      <c r="I1086" s="13">
        <f t="shared" si="92"/>
        <v>1.02</v>
      </c>
      <c r="J1086" s="13">
        <f t="shared" si="93"/>
        <v>1.32</v>
      </c>
    </row>
    <row r="1087" spans="1:10" s="1" customFormat="1" ht="25.5" customHeight="1" x14ac:dyDescent="0.2">
      <c r="A1087" s="11" t="s">
        <v>308</v>
      </c>
      <c r="B1087" s="11" t="s">
        <v>595</v>
      </c>
      <c r="C1087" s="139" t="s">
        <v>596</v>
      </c>
      <c r="D1087" s="140"/>
      <c r="E1087" s="11" t="s">
        <v>102</v>
      </c>
      <c r="F1087" s="12">
        <v>13</v>
      </c>
      <c r="G1087" s="12">
        <v>0.25</v>
      </c>
      <c r="H1087" s="12">
        <v>0.32</v>
      </c>
      <c r="I1087" s="13">
        <f t="shared" si="92"/>
        <v>3.25</v>
      </c>
      <c r="J1087" s="13">
        <f t="shared" si="93"/>
        <v>4.16</v>
      </c>
    </row>
    <row r="1088" spans="1:10" s="1" customFormat="1" ht="25.5" customHeight="1" x14ac:dyDescent="0.2">
      <c r="A1088" s="11" t="s">
        <v>308</v>
      </c>
      <c r="B1088" s="11" t="s">
        <v>597</v>
      </c>
      <c r="C1088" s="139" t="s">
        <v>598</v>
      </c>
      <c r="D1088" s="140"/>
      <c r="E1088" s="11" t="s">
        <v>102</v>
      </c>
      <c r="F1088" s="12">
        <v>13</v>
      </c>
      <c r="G1088" s="12">
        <v>0.54</v>
      </c>
      <c r="H1088" s="12">
        <v>0.69</v>
      </c>
      <c r="I1088" s="13">
        <f t="shared" si="92"/>
        <v>7.0200000000000005</v>
      </c>
      <c r="J1088" s="13">
        <f t="shared" si="93"/>
        <v>8.9699999999999989</v>
      </c>
    </row>
    <row r="1089" spans="1:10" s="1" customFormat="1" ht="25.5" customHeight="1" x14ac:dyDescent="0.2">
      <c r="A1089" s="11" t="s">
        <v>308</v>
      </c>
      <c r="B1089" s="11" t="s">
        <v>599</v>
      </c>
      <c r="C1089" s="139" t="s">
        <v>600</v>
      </c>
      <c r="D1089" s="140"/>
      <c r="E1089" s="11" t="s">
        <v>102</v>
      </c>
      <c r="F1089" s="12">
        <v>20</v>
      </c>
      <c r="G1089" s="12">
        <v>0.62</v>
      </c>
      <c r="H1089" s="12">
        <v>0.79</v>
      </c>
      <c r="I1089" s="13">
        <f t="shared" si="92"/>
        <v>12.4</v>
      </c>
      <c r="J1089" s="13">
        <f t="shared" si="93"/>
        <v>15.8</v>
      </c>
    </row>
    <row r="1090" spans="1:10" s="1" customFormat="1" ht="25.5" customHeight="1" x14ac:dyDescent="0.2">
      <c r="A1090" s="11" t="s">
        <v>308</v>
      </c>
      <c r="B1090" s="11" t="s">
        <v>601</v>
      </c>
      <c r="C1090" s="139" t="s">
        <v>602</v>
      </c>
      <c r="D1090" s="140"/>
      <c r="E1090" s="11" t="s">
        <v>102</v>
      </c>
      <c r="F1090" s="12">
        <v>8</v>
      </c>
      <c r="G1090" s="12">
        <v>1.95</v>
      </c>
      <c r="H1090" s="12">
        <v>2.4900000000000002</v>
      </c>
      <c r="I1090" s="13">
        <f t="shared" si="92"/>
        <v>15.6</v>
      </c>
      <c r="J1090" s="13">
        <f t="shared" si="93"/>
        <v>19.920000000000002</v>
      </c>
    </row>
    <row r="1091" spans="1:10" s="1" customFormat="1" ht="25.5" customHeight="1" x14ac:dyDescent="0.2">
      <c r="A1091" s="10">
        <v>95547</v>
      </c>
      <c r="B1091" s="11" t="s">
        <v>603</v>
      </c>
      <c r="C1091" s="139" t="s">
        <v>604</v>
      </c>
      <c r="D1091" s="140"/>
      <c r="E1091" s="11" t="s">
        <v>102</v>
      </c>
      <c r="F1091" s="12">
        <v>32</v>
      </c>
      <c r="G1091" s="12">
        <v>48.53</v>
      </c>
      <c r="H1091" s="12">
        <v>61.92</v>
      </c>
      <c r="I1091" s="13">
        <f t="shared" si="92"/>
        <v>1552.96</v>
      </c>
      <c r="J1091" s="13">
        <f t="shared" si="93"/>
        <v>1981.44</v>
      </c>
    </row>
    <row r="1092" spans="1:10" s="1" customFormat="1" ht="25.5" customHeight="1" x14ac:dyDescent="0.2">
      <c r="A1092" s="10">
        <v>95542</v>
      </c>
      <c r="B1092" s="11" t="s">
        <v>605</v>
      </c>
      <c r="C1092" s="139" t="s">
        <v>606</v>
      </c>
      <c r="D1092" s="140"/>
      <c r="E1092" s="11" t="s">
        <v>102</v>
      </c>
      <c r="F1092" s="12">
        <v>30</v>
      </c>
      <c r="G1092" s="12">
        <v>16.57</v>
      </c>
      <c r="H1092" s="12">
        <v>21.14</v>
      </c>
      <c r="I1092" s="13">
        <f t="shared" si="92"/>
        <v>497.1</v>
      </c>
      <c r="J1092" s="13">
        <f t="shared" si="93"/>
        <v>634.20000000000005</v>
      </c>
    </row>
    <row r="1093" spans="1:10" s="1" customFormat="1" ht="25.5" customHeight="1" x14ac:dyDescent="0.2">
      <c r="A1093" s="11" t="s">
        <v>607</v>
      </c>
      <c r="B1093" s="11" t="s">
        <v>608</v>
      </c>
      <c r="C1093" s="139" t="s">
        <v>609</v>
      </c>
      <c r="D1093" s="140"/>
      <c r="E1093" s="11" t="s">
        <v>102</v>
      </c>
      <c r="F1093" s="12">
        <v>23</v>
      </c>
      <c r="G1093" s="12">
        <v>37.58</v>
      </c>
      <c r="H1093" s="12">
        <v>47.94</v>
      </c>
      <c r="I1093" s="13">
        <f t="shared" si="92"/>
        <v>864.33999999999992</v>
      </c>
      <c r="J1093" s="13">
        <f t="shared" si="93"/>
        <v>1102.6199999999999</v>
      </c>
    </row>
    <row r="1094" spans="1:10" s="1" customFormat="1" ht="25.5" customHeight="1" x14ac:dyDescent="0.2">
      <c r="A1094" s="11" t="s">
        <v>610</v>
      </c>
      <c r="B1094" s="11" t="s">
        <v>611</v>
      </c>
      <c r="C1094" s="139" t="s">
        <v>612</v>
      </c>
      <c r="D1094" s="140"/>
      <c r="E1094" s="11" t="s">
        <v>102</v>
      </c>
      <c r="F1094" s="12">
        <v>17</v>
      </c>
      <c r="G1094" s="12">
        <v>30.88</v>
      </c>
      <c r="H1094" s="12">
        <v>39.4</v>
      </c>
      <c r="I1094" s="13">
        <f t="shared" si="92"/>
        <v>524.96</v>
      </c>
      <c r="J1094" s="13">
        <f t="shared" si="93"/>
        <v>669.8</v>
      </c>
    </row>
    <row r="1095" spans="1:10" s="1" customFormat="1" ht="25.5" customHeight="1" x14ac:dyDescent="0.2">
      <c r="A1095" s="8"/>
      <c r="B1095" s="149" t="s">
        <v>613</v>
      </c>
      <c r="C1095" s="150"/>
      <c r="D1095" s="150"/>
      <c r="E1095" s="150"/>
      <c r="F1095" s="150"/>
      <c r="G1095" s="151"/>
      <c r="H1095" s="8"/>
      <c r="I1095" s="14">
        <f>SUM(I1041:I1094)-0.18</f>
        <v>42951.259999999995</v>
      </c>
      <c r="J1095" s="15">
        <f>SUM(J1041:J1094)-0.23</f>
        <v>54801.520000000004</v>
      </c>
    </row>
    <row r="1096" spans="1:10" s="1" customFormat="1" ht="25.5" customHeight="1" x14ac:dyDescent="0.2">
      <c r="A1096" s="8"/>
      <c r="B1096" s="9" t="s">
        <v>614</v>
      </c>
      <c r="C1096" s="137" t="s">
        <v>615</v>
      </c>
      <c r="D1096" s="138"/>
      <c r="E1096" s="8"/>
      <c r="F1096" s="8"/>
      <c r="G1096" s="8"/>
      <c r="H1096" s="8"/>
      <c r="I1096" s="8"/>
      <c r="J1096" s="8"/>
    </row>
    <row r="1097" spans="1:10" s="1" customFormat="1" ht="25.5" customHeight="1" x14ac:dyDescent="0.2">
      <c r="A1097" s="11" t="s">
        <v>78</v>
      </c>
      <c r="B1097" s="11" t="s">
        <v>616</v>
      </c>
      <c r="C1097" s="139" t="s">
        <v>617</v>
      </c>
      <c r="D1097" s="140"/>
      <c r="E1097" s="11" t="s">
        <v>102</v>
      </c>
      <c r="F1097" s="12">
        <v>2</v>
      </c>
      <c r="G1097" s="13">
        <v>1100.49</v>
      </c>
      <c r="H1097" s="13">
        <v>1404.12</v>
      </c>
      <c r="I1097" s="13">
        <f>F1097*G1097</f>
        <v>2200.98</v>
      </c>
      <c r="J1097" s="13">
        <f>F1097*H1097</f>
        <v>2808.24</v>
      </c>
    </row>
    <row r="1098" spans="1:10" s="1" customFormat="1" ht="25.5" customHeight="1" x14ac:dyDescent="0.2">
      <c r="A1098" s="11" t="s">
        <v>308</v>
      </c>
      <c r="B1098" s="11" t="s">
        <v>618</v>
      </c>
      <c r="C1098" s="139" t="s">
        <v>619</v>
      </c>
      <c r="D1098" s="140"/>
      <c r="E1098" s="11" t="s">
        <v>102</v>
      </c>
      <c r="F1098" s="12">
        <v>1</v>
      </c>
      <c r="G1098" s="12">
        <v>33</v>
      </c>
      <c r="H1098" s="12">
        <v>42.1</v>
      </c>
      <c r="I1098" s="13">
        <f>F1098*G1098</f>
        <v>33</v>
      </c>
      <c r="J1098" s="13">
        <f>F1098*H1098</f>
        <v>42.1</v>
      </c>
    </row>
    <row r="1099" spans="1:10" s="1" customFormat="1" ht="25.5" customHeight="1" x14ac:dyDescent="0.2">
      <c r="A1099" s="11" t="s">
        <v>308</v>
      </c>
      <c r="B1099" s="11" t="s">
        <v>620</v>
      </c>
      <c r="C1099" s="139" t="s">
        <v>621</v>
      </c>
      <c r="D1099" s="140"/>
      <c r="E1099" s="11" t="s">
        <v>102</v>
      </c>
      <c r="F1099" s="12">
        <v>2</v>
      </c>
      <c r="G1099" s="12">
        <v>36.5</v>
      </c>
      <c r="H1099" s="12">
        <v>46.57</v>
      </c>
      <c r="I1099" s="13">
        <f>F1099*G1099</f>
        <v>73</v>
      </c>
      <c r="J1099" s="13">
        <f>F1099*H1099</f>
        <v>93.14</v>
      </c>
    </row>
    <row r="1100" spans="1:10" s="1" customFormat="1" ht="25.5" customHeight="1" x14ac:dyDescent="0.2">
      <c r="A1100" s="8"/>
      <c r="B1100" s="149" t="s">
        <v>622</v>
      </c>
      <c r="C1100" s="150"/>
      <c r="D1100" s="150"/>
      <c r="E1100" s="150"/>
      <c r="F1100" s="150"/>
      <c r="G1100" s="151"/>
      <c r="H1100" s="8"/>
      <c r="I1100" s="14">
        <f>SUM(I1097:I1099)+0.01</f>
        <v>2306.9900000000002</v>
      </c>
      <c r="J1100" s="15">
        <f>SUM(J1097:J1099)</f>
        <v>2943.4799999999996</v>
      </c>
    </row>
    <row r="1101" spans="1:10" s="1" customFormat="1" ht="25.5" customHeight="1" x14ac:dyDescent="0.2">
      <c r="A1101" s="8"/>
      <c r="B1101" s="9" t="s">
        <v>623</v>
      </c>
      <c r="C1101" s="137" t="s">
        <v>624</v>
      </c>
      <c r="D1101" s="138"/>
      <c r="E1101" s="8"/>
      <c r="F1101" s="8"/>
      <c r="G1101" s="8"/>
      <c r="H1101" s="8"/>
      <c r="I1101" s="8"/>
      <c r="J1101" s="8"/>
    </row>
    <row r="1102" spans="1:10" s="1" customFormat="1" ht="25.5" customHeight="1" x14ac:dyDescent="0.2">
      <c r="A1102" s="8"/>
      <c r="B1102" s="9" t="s">
        <v>625</v>
      </c>
      <c r="C1102" s="137" t="s">
        <v>626</v>
      </c>
      <c r="D1102" s="138"/>
      <c r="E1102" s="8"/>
      <c r="F1102" s="8"/>
      <c r="G1102" s="8"/>
      <c r="H1102" s="8"/>
      <c r="I1102" s="8"/>
      <c r="J1102" s="8"/>
    </row>
    <row r="1103" spans="1:10" s="1" customFormat="1" ht="25.5" customHeight="1" x14ac:dyDescent="0.2">
      <c r="A1103" s="10">
        <v>92688</v>
      </c>
      <c r="B1103" s="21">
        <v>42736</v>
      </c>
      <c r="C1103" s="139" t="s">
        <v>627</v>
      </c>
      <c r="D1103" s="140"/>
      <c r="E1103" s="11" t="s">
        <v>81</v>
      </c>
      <c r="F1103" s="12">
        <v>18</v>
      </c>
      <c r="G1103" s="12">
        <v>25.9</v>
      </c>
      <c r="H1103" s="12">
        <v>33.049999999999997</v>
      </c>
      <c r="I1103" s="13">
        <f>F1103*G1103</f>
        <v>466.2</v>
      </c>
      <c r="J1103" s="13">
        <f>F1103*H1103</f>
        <v>594.9</v>
      </c>
    </row>
    <row r="1104" spans="1:10" s="1" customFormat="1" ht="25.5" customHeight="1" x14ac:dyDescent="0.2">
      <c r="A1104" s="10">
        <v>97535</v>
      </c>
      <c r="B1104" s="21">
        <v>42737</v>
      </c>
      <c r="C1104" s="139" t="s">
        <v>628</v>
      </c>
      <c r="D1104" s="140"/>
      <c r="E1104" s="11" t="s">
        <v>81</v>
      </c>
      <c r="F1104" s="12">
        <v>24</v>
      </c>
      <c r="G1104" s="12">
        <v>32.049999999999997</v>
      </c>
      <c r="H1104" s="12">
        <v>40.89</v>
      </c>
      <c r="I1104" s="13">
        <f>F1104*G1104</f>
        <v>769.19999999999993</v>
      </c>
      <c r="J1104" s="13">
        <f>F1104*H1104</f>
        <v>981.36</v>
      </c>
    </row>
    <row r="1105" spans="1:10" s="1" customFormat="1" ht="25.5" customHeight="1" x14ac:dyDescent="0.2">
      <c r="A1105" s="10">
        <v>92653</v>
      </c>
      <c r="B1105" s="21">
        <v>42738</v>
      </c>
      <c r="C1105" s="139" t="s">
        <v>629</v>
      </c>
      <c r="D1105" s="140"/>
      <c r="E1105" s="11" t="s">
        <v>81</v>
      </c>
      <c r="F1105" s="12">
        <v>36</v>
      </c>
      <c r="G1105" s="12">
        <v>43.81</v>
      </c>
      <c r="H1105" s="12">
        <v>55.9</v>
      </c>
      <c r="I1105" s="13">
        <f>F1105*G1105</f>
        <v>1577.16</v>
      </c>
      <c r="J1105" s="13">
        <f>F1105*H1105</f>
        <v>2012.3999999999999</v>
      </c>
    </row>
    <row r="1106" spans="1:10" s="1" customFormat="1" ht="25.5" customHeight="1" x14ac:dyDescent="0.2">
      <c r="A1106" s="10">
        <v>92656</v>
      </c>
      <c r="B1106" s="21">
        <v>42739</v>
      </c>
      <c r="C1106" s="139" t="s">
        <v>630</v>
      </c>
      <c r="D1106" s="140"/>
      <c r="E1106" s="11" t="s">
        <v>81</v>
      </c>
      <c r="F1106" s="12">
        <v>12</v>
      </c>
      <c r="G1106" s="12">
        <v>79.11</v>
      </c>
      <c r="H1106" s="12">
        <v>100.94</v>
      </c>
      <c r="I1106" s="13">
        <f>F1106*G1106</f>
        <v>949.31999999999994</v>
      </c>
      <c r="J1106" s="13">
        <f>F1106*H1106</f>
        <v>1211.28</v>
      </c>
    </row>
    <row r="1107" spans="1:10" s="1" customFormat="1" ht="25.5" customHeight="1" x14ac:dyDescent="0.2">
      <c r="A1107" s="8"/>
      <c r="B1107" s="9" t="s">
        <v>631</v>
      </c>
      <c r="C1107" s="137" t="s">
        <v>632</v>
      </c>
      <c r="D1107" s="138"/>
      <c r="E1107" s="8"/>
      <c r="F1107" s="8"/>
      <c r="G1107" s="8"/>
      <c r="H1107" s="8"/>
      <c r="I1107" s="8"/>
      <c r="J1107" s="8"/>
    </row>
    <row r="1108" spans="1:10" s="1" customFormat="1" ht="25.5" customHeight="1" x14ac:dyDescent="0.2">
      <c r="A1108" s="10">
        <v>92939</v>
      </c>
      <c r="B1108" s="21">
        <v>42767</v>
      </c>
      <c r="C1108" s="139" t="s">
        <v>633</v>
      </c>
      <c r="D1108" s="140"/>
      <c r="E1108" s="11" t="s">
        <v>102</v>
      </c>
      <c r="F1108" s="12">
        <v>2</v>
      </c>
      <c r="G1108" s="12">
        <v>17.52</v>
      </c>
      <c r="H1108" s="12">
        <v>22.35</v>
      </c>
      <c r="I1108" s="13">
        <f>F1108*G1108</f>
        <v>35.04</v>
      </c>
      <c r="J1108" s="13">
        <f>F1108*H1108</f>
        <v>44.7</v>
      </c>
    </row>
    <row r="1109" spans="1:10" s="1" customFormat="1" ht="25.5" customHeight="1" x14ac:dyDescent="0.2">
      <c r="A1109" s="8"/>
      <c r="B1109" s="9" t="s">
        <v>634</v>
      </c>
      <c r="C1109" s="137" t="s">
        <v>635</v>
      </c>
      <c r="D1109" s="138"/>
      <c r="E1109" s="8"/>
      <c r="F1109" s="8"/>
      <c r="G1109" s="8"/>
      <c r="H1109" s="8"/>
      <c r="I1109" s="8"/>
      <c r="J1109" s="8"/>
    </row>
    <row r="1110" spans="1:10" s="1" customFormat="1" ht="25.5" customHeight="1" x14ac:dyDescent="0.2">
      <c r="A1110" s="10">
        <v>92701</v>
      </c>
      <c r="B1110" s="21">
        <v>42795</v>
      </c>
      <c r="C1110" s="139" t="s">
        <v>636</v>
      </c>
      <c r="D1110" s="140"/>
      <c r="E1110" s="11" t="s">
        <v>102</v>
      </c>
      <c r="F1110" s="12">
        <v>4</v>
      </c>
      <c r="G1110" s="12">
        <v>21.04</v>
      </c>
      <c r="H1110" s="12">
        <v>26.84</v>
      </c>
      <c r="I1110" s="13">
        <f>F1110*G1110</f>
        <v>84.16</v>
      </c>
      <c r="J1110" s="13">
        <f>F1110*H1110</f>
        <v>107.36</v>
      </c>
    </row>
    <row r="1111" spans="1:10" s="1" customFormat="1" ht="25.5" customHeight="1" x14ac:dyDescent="0.2">
      <c r="A1111" s="10">
        <v>92674</v>
      </c>
      <c r="B1111" s="21">
        <v>42796</v>
      </c>
      <c r="C1111" s="139" t="s">
        <v>637</v>
      </c>
      <c r="D1111" s="140"/>
      <c r="E1111" s="11" t="s">
        <v>102</v>
      </c>
      <c r="F1111" s="12">
        <v>4</v>
      </c>
      <c r="G1111" s="12">
        <v>34.25</v>
      </c>
      <c r="H1111" s="12">
        <v>43.7</v>
      </c>
      <c r="I1111" s="13">
        <f>F1111*G1111</f>
        <v>137</v>
      </c>
      <c r="J1111" s="13">
        <f>F1111*H1111</f>
        <v>174.8</v>
      </c>
    </row>
    <row r="1112" spans="1:10" s="1" customFormat="1" ht="25.5" customHeight="1" x14ac:dyDescent="0.2">
      <c r="A1112" s="10">
        <v>92703</v>
      </c>
      <c r="B1112" s="21">
        <v>42797</v>
      </c>
      <c r="C1112" s="139" t="s">
        <v>638</v>
      </c>
      <c r="D1112" s="140"/>
      <c r="E1112" s="11" t="s">
        <v>102</v>
      </c>
      <c r="F1112" s="12">
        <v>15</v>
      </c>
      <c r="G1112" s="12">
        <v>33.51</v>
      </c>
      <c r="H1112" s="12">
        <v>42.76</v>
      </c>
      <c r="I1112" s="13">
        <f>F1112*G1112</f>
        <v>502.65</v>
      </c>
      <c r="J1112" s="13">
        <f>F1112*H1112</f>
        <v>641.4</v>
      </c>
    </row>
    <row r="1113" spans="1:10" s="1" customFormat="1" ht="25.5" customHeight="1" x14ac:dyDescent="0.2">
      <c r="A1113" s="10">
        <v>92680</v>
      </c>
      <c r="B1113" s="21">
        <v>42798</v>
      </c>
      <c r="C1113" s="139" t="s">
        <v>639</v>
      </c>
      <c r="D1113" s="140"/>
      <c r="E1113" s="11" t="s">
        <v>102</v>
      </c>
      <c r="F1113" s="12">
        <v>8</v>
      </c>
      <c r="G1113" s="12">
        <v>87.03</v>
      </c>
      <c r="H1113" s="12">
        <v>111.04</v>
      </c>
      <c r="I1113" s="13">
        <f>F1113*G1113</f>
        <v>696.24</v>
      </c>
      <c r="J1113" s="13">
        <f>F1113*H1113</f>
        <v>888.32</v>
      </c>
    </row>
    <row r="1114" spans="1:10" s="1" customFormat="1" ht="25.5" customHeight="1" x14ac:dyDescent="0.2">
      <c r="A1114" s="8"/>
      <c r="B1114" s="9" t="s">
        <v>640</v>
      </c>
      <c r="C1114" s="137" t="s">
        <v>641</v>
      </c>
      <c r="D1114" s="138"/>
      <c r="E1114" s="8"/>
      <c r="F1114" s="8"/>
      <c r="G1114" s="8"/>
      <c r="H1114" s="8"/>
      <c r="I1114" s="8"/>
      <c r="J1114" s="8"/>
    </row>
    <row r="1115" spans="1:10" s="1" customFormat="1" ht="25.5" customHeight="1" x14ac:dyDescent="0.2">
      <c r="A1115" s="10">
        <v>92658</v>
      </c>
      <c r="B1115" s="21">
        <v>42826</v>
      </c>
      <c r="C1115" s="139" t="s">
        <v>642</v>
      </c>
      <c r="D1115" s="140"/>
      <c r="E1115" s="11" t="s">
        <v>102</v>
      </c>
      <c r="F1115" s="12">
        <v>1</v>
      </c>
      <c r="G1115" s="12">
        <v>17.47</v>
      </c>
      <c r="H1115" s="12">
        <v>22.29</v>
      </c>
      <c r="I1115" s="13">
        <f>F1115*G1115</f>
        <v>17.47</v>
      </c>
      <c r="J1115" s="13">
        <f>F1115*H1115</f>
        <v>22.29</v>
      </c>
    </row>
    <row r="1116" spans="1:10" s="1" customFormat="1" ht="25.5" customHeight="1" x14ac:dyDescent="0.2">
      <c r="A1116" s="10">
        <v>92662</v>
      </c>
      <c r="B1116" s="21">
        <v>42827</v>
      </c>
      <c r="C1116" s="139" t="s">
        <v>643</v>
      </c>
      <c r="D1116" s="140"/>
      <c r="E1116" s="11" t="s">
        <v>102</v>
      </c>
      <c r="F1116" s="12">
        <v>1</v>
      </c>
      <c r="G1116" s="12">
        <v>23.58</v>
      </c>
      <c r="H1116" s="12">
        <v>30.09</v>
      </c>
      <c r="I1116" s="13">
        <f>F1116*G1116</f>
        <v>23.58</v>
      </c>
      <c r="J1116" s="13">
        <f>F1116*H1116</f>
        <v>30.09</v>
      </c>
    </row>
    <row r="1117" spans="1:10" s="1" customFormat="1" ht="25.5" customHeight="1" x14ac:dyDescent="0.2">
      <c r="A1117" s="8"/>
      <c r="B1117" s="9" t="s">
        <v>644</v>
      </c>
      <c r="C1117" s="137" t="s">
        <v>450</v>
      </c>
      <c r="D1117" s="138"/>
      <c r="E1117" s="8"/>
      <c r="F1117" s="8"/>
      <c r="G1117" s="8"/>
      <c r="H1117" s="8"/>
      <c r="I1117" s="8"/>
      <c r="J1117" s="8"/>
    </row>
    <row r="1118" spans="1:10" s="1" customFormat="1" ht="25.5" customHeight="1" x14ac:dyDescent="0.2">
      <c r="A1118" s="10">
        <v>92683</v>
      </c>
      <c r="B1118" s="21">
        <v>42856</v>
      </c>
      <c r="C1118" s="139" t="s">
        <v>645</v>
      </c>
      <c r="D1118" s="140"/>
      <c r="E1118" s="11" t="s">
        <v>102</v>
      </c>
      <c r="F1118" s="12">
        <v>1</v>
      </c>
      <c r="G1118" s="12">
        <v>45.08</v>
      </c>
      <c r="H1118" s="12">
        <v>57.52</v>
      </c>
      <c r="I1118" s="13">
        <f>F1118*G1118</f>
        <v>45.08</v>
      </c>
      <c r="J1118" s="13">
        <f>F1118*H1118</f>
        <v>57.52</v>
      </c>
    </row>
    <row r="1119" spans="1:10" s="1" customFormat="1" ht="25.5" customHeight="1" x14ac:dyDescent="0.2">
      <c r="A1119" s="10">
        <v>92681</v>
      </c>
      <c r="B1119" s="21">
        <v>42857</v>
      </c>
      <c r="C1119" s="139" t="s">
        <v>646</v>
      </c>
      <c r="D1119" s="140"/>
      <c r="E1119" s="11" t="s">
        <v>102</v>
      </c>
      <c r="F1119" s="12">
        <v>2</v>
      </c>
      <c r="G1119" s="12">
        <v>32.270000000000003</v>
      </c>
      <c r="H1119" s="12">
        <v>41.17</v>
      </c>
      <c r="I1119" s="13">
        <f>F1119*G1119</f>
        <v>64.540000000000006</v>
      </c>
      <c r="J1119" s="13">
        <f>F1119*H1119</f>
        <v>82.34</v>
      </c>
    </row>
    <row r="1120" spans="1:10" s="1" customFormat="1" ht="25.5" customHeight="1" x14ac:dyDescent="0.2">
      <c r="A1120" s="11" t="s">
        <v>78</v>
      </c>
      <c r="B1120" s="21">
        <v>42858</v>
      </c>
      <c r="C1120" s="139" t="s">
        <v>647</v>
      </c>
      <c r="D1120" s="140"/>
      <c r="E1120" s="11" t="s">
        <v>102</v>
      </c>
      <c r="F1120" s="12">
        <v>1</v>
      </c>
      <c r="G1120" s="12">
        <v>32.92</v>
      </c>
      <c r="H1120" s="12">
        <v>42.01</v>
      </c>
      <c r="I1120" s="13">
        <f>F1120*G1120</f>
        <v>32.92</v>
      </c>
      <c r="J1120" s="13">
        <f>F1120*H1120</f>
        <v>42.01</v>
      </c>
    </row>
    <row r="1121" spans="1:10" s="1" customFormat="1" ht="25.5" customHeight="1" x14ac:dyDescent="0.2">
      <c r="A1121" s="8"/>
      <c r="B1121" s="9" t="s">
        <v>648</v>
      </c>
      <c r="C1121" s="137" t="s">
        <v>473</v>
      </c>
      <c r="D1121" s="138"/>
      <c r="E1121" s="8"/>
      <c r="F1121" s="8"/>
      <c r="G1121" s="8"/>
      <c r="H1121" s="8"/>
      <c r="I1121" s="8"/>
      <c r="J1121" s="8"/>
    </row>
    <row r="1122" spans="1:10" s="1" customFormat="1" ht="25.5" customHeight="1" x14ac:dyDescent="0.2">
      <c r="A1122" s="10">
        <v>92898</v>
      </c>
      <c r="B1122" s="21">
        <v>42887</v>
      </c>
      <c r="C1122" s="139" t="s">
        <v>649</v>
      </c>
      <c r="D1122" s="140"/>
      <c r="E1122" s="11" t="s">
        <v>102</v>
      </c>
      <c r="F1122" s="12">
        <v>4</v>
      </c>
      <c r="G1122" s="12">
        <v>27.29</v>
      </c>
      <c r="H1122" s="12">
        <v>34.82</v>
      </c>
      <c r="I1122" s="13">
        <f>F1122*G1122</f>
        <v>109.16</v>
      </c>
      <c r="J1122" s="13">
        <f>F1122*H1122</f>
        <v>139.28</v>
      </c>
    </row>
    <row r="1123" spans="1:10" s="1" customFormat="1" ht="25.5" customHeight="1" x14ac:dyDescent="0.2">
      <c r="A1123" s="10">
        <v>92900</v>
      </c>
      <c r="B1123" s="21">
        <v>42888</v>
      </c>
      <c r="C1123" s="139" t="s">
        <v>650</v>
      </c>
      <c r="D1123" s="140"/>
      <c r="E1123" s="11" t="s">
        <v>102</v>
      </c>
      <c r="F1123" s="12">
        <v>2</v>
      </c>
      <c r="G1123" s="12">
        <v>46.5</v>
      </c>
      <c r="H1123" s="12">
        <v>59.33</v>
      </c>
      <c r="I1123" s="13">
        <f>F1123*G1123</f>
        <v>93</v>
      </c>
      <c r="J1123" s="13">
        <f>F1123*H1123</f>
        <v>118.66</v>
      </c>
    </row>
    <row r="1124" spans="1:10" s="1" customFormat="1" ht="25.5" customHeight="1" x14ac:dyDescent="0.2">
      <c r="A1124" s="8"/>
      <c r="B1124" s="9" t="s">
        <v>651</v>
      </c>
      <c r="C1124" s="137" t="s">
        <v>652</v>
      </c>
      <c r="D1124" s="138"/>
      <c r="E1124" s="8"/>
      <c r="F1124" s="8"/>
      <c r="G1124" s="8"/>
      <c r="H1124" s="8"/>
      <c r="I1124" s="8"/>
      <c r="J1124" s="8"/>
    </row>
    <row r="1125" spans="1:10" s="1" customFormat="1" ht="25.5" customHeight="1" x14ac:dyDescent="0.2">
      <c r="A1125" s="11" t="s">
        <v>78</v>
      </c>
      <c r="B1125" s="21">
        <v>42917</v>
      </c>
      <c r="C1125" s="139" t="s">
        <v>653</v>
      </c>
      <c r="D1125" s="140"/>
      <c r="E1125" s="11" t="s">
        <v>102</v>
      </c>
      <c r="F1125" s="12">
        <v>2</v>
      </c>
      <c r="G1125" s="12">
        <v>20.03</v>
      </c>
      <c r="H1125" s="12">
        <v>25.55</v>
      </c>
      <c r="I1125" s="13">
        <f>F1125*G1125</f>
        <v>40.06</v>
      </c>
      <c r="J1125" s="13">
        <f>F1125*H1125</f>
        <v>51.1</v>
      </c>
    </row>
    <row r="1126" spans="1:10" s="1" customFormat="1" ht="25.5" customHeight="1" x14ac:dyDescent="0.2">
      <c r="A1126" s="8"/>
      <c r="B1126" s="149" t="s">
        <v>654</v>
      </c>
      <c r="C1126" s="150"/>
      <c r="D1126" s="150"/>
      <c r="E1126" s="150"/>
      <c r="F1126" s="150"/>
      <c r="G1126" s="151"/>
      <c r="H1126" s="8"/>
      <c r="I1126" s="14">
        <f>SUM(I1103:I1125)-0.01</f>
        <v>5642.7699999999995</v>
      </c>
      <c r="J1126" s="15">
        <f>SUM(J1103:J1125)</f>
        <v>7199.8099999999995</v>
      </c>
    </row>
    <row r="1127" spans="1:10" s="1" customFormat="1" ht="25.5" customHeight="1" x14ac:dyDescent="0.2">
      <c r="A1127" s="8"/>
      <c r="B1127" s="46"/>
      <c r="C1127" s="153"/>
      <c r="D1127" s="154"/>
      <c r="E1127" s="8"/>
      <c r="F1127" s="8"/>
      <c r="G1127" s="8"/>
      <c r="H1127" s="8"/>
      <c r="I1127" s="8"/>
      <c r="J1127" s="8"/>
    </row>
    <row r="1128" spans="1:10" s="1" customFormat="1" ht="25.5" customHeight="1" x14ac:dyDescent="0.2">
      <c r="A1128" s="8"/>
      <c r="B1128" s="9" t="s">
        <v>655</v>
      </c>
      <c r="C1128" s="137" t="s">
        <v>656</v>
      </c>
      <c r="D1128" s="138"/>
      <c r="E1128" s="8"/>
      <c r="F1128" s="8"/>
      <c r="G1128" s="8"/>
      <c r="H1128" s="8"/>
      <c r="I1128" s="8"/>
      <c r="J1128" s="8"/>
    </row>
    <row r="1129" spans="1:10" s="1" customFormat="1" ht="25.5" customHeight="1" x14ac:dyDescent="0.2">
      <c r="A1129" s="8"/>
      <c r="B1129" s="9" t="s">
        <v>657</v>
      </c>
      <c r="C1129" s="137" t="s">
        <v>626</v>
      </c>
      <c r="D1129" s="138"/>
      <c r="E1129" s="8"/>
      <c r="F1129" s="8"/>
      <c r="G1129" s="8"/>
      <c r="H1129" s="8"/>
      <c r="I1129" s="8"/>
      <c r="J1129" s="8"/>
    </row>
    <row r="1130" spans="1:10" s="1" customFormat="1" ht="25.5" customHeight="1" x14ac:dyDescent="0.2">
      <c r="A1130" s="11" t="s">
        <v>78</v>
      </c>
      <c r="B1130" s="21">
        <v>43101</v>
      </c>
      <c r="C1130" s="139" t="s">
        <v>658</v>
      </c>
      <c r="D1130" s="140"/>
      <c r="E1130" s="11" t="s">
        <v>81</v>
      </c>
      <c r="F1130" s="12">
        <v>15.5</v>
      </c>
      <c r="G1130" s="12">
        <v>15.13</v>
      </c>
      <c r="H1130" s="12">
        <v>19.3</v>
      </c>
      <c r="I1130" s="13">
        <f t="shared" ref="I1130:I1135" si="94">F1130*G1130</f>
        <v>234.51500000000001</v>
      </c>
      <c r="J1130" s="13">
        <f t="shared" ref="J1130:J1135" si="95">F1130*H1130</f>
        <v>299.15000000000003</v>
      </c>
    </row>
    <row r="1131" spans="1:10" s="1" customFormat="1" ht="25.5" customHeight="1" x14ac:dyDescent="0.2">
      <c r="A1131" s="11" t="s">
        <v>78</v>
      </c>
      <c r="B1131" s="21">
        <v>43102</v>
      </c>
      <c r="C1131" s="139" t="s">
        <v>659</v>
      </c>
      <c r="D1131" s="140"/>
      <c r="E1131" s="11" t="s">
        <v>81</v>
      </c>
      <c r="F1131" s="12">
        <v>127.6</v>
      </c>
      <c r="G1131" s="12">
        <v>29.08</v>
      </c>
      <c r="H1131" s="12">
        <v>37.1</v>
      </c>
      <c r="I1131" s="13">
        <f t="shared" si="94"/>
        <v>3710.6079999999997</v>
      </c>
      <c r="J1131" s="13">
        <f t="shared" si="95"/>
        <v>4733.96</v>
      </c>
    </row>
    <row r="1132" spans="1:10" s="1" customFormat="1" ht="25.5" customHeight="1" x14ac:dyDescent="0.2">
      <c r="A1132" s="11" t="s">
        <v>78</v>
      </c>
      <c r="B1132" s="21">
        <v>43103</v>
      </c>
      <c r="C1132" s="139" t="s">
        <v>660</v>
      </c>
      <c r="D1132" s="140"/>
      <c r="E1132" s="11" t="s">
        <v>81</v>
      </c>
      <c r="F1132" s="12">
        <v>18</v>
      </c>
      <c r="G1132" s="12">
        <v>25.97</v>
      </c>
      <c r="H1132" s="12">
        <v>33.14</v>
      </c>
      <c r="I1132" s="13">
        <f t="shared" si="94"/>
        <v>467.46</v>
      </c>
      <c r="J1132" s="13">
        <f t="shared" si="95"/>
        <v>596.52</v>
      </c>
    </row>
    <row r="1133" spans="1:10" s="1" customFormat="1" ht="25.5" customHeight="1" x14ac:dyDescent="0.2">
      <c r="A1133" s="11" t="s">
        <v>78</v>
      </c>
      <c r="B1133" s="21">
        <v>43104</v>
      </c>
      <c r="C1133" s="139" t="s">
        <v>661</v>
      </c>
      <c r="D1133" s="140"/>
      <c r="E1133" s="11" t="s">
        <v>81</v>
      </c>
      <c r="F1133" s="12">
        <v>28.7</v>
      </c>
      <c r="G1133" s="12">
        <v>39.630000000000003</v>
      </c>
      <c r="H1133" s="12">
        <v>50.56</v>
      </c>
      <c r="I1133" s="13">
        <f t="shared" si="94"/>
        <v>1137.3810000000001</v>
      </c>
      <c r="J1133" s="13">
        <f t="shared" si="95"/>
        <v>1451.0720000000001</v>
      </c>
    </row>
    <row r="1134" spans="1:10" s="1" customFormat="1" ht="25.5" customHeight="1" x14ac:dyDescent="0.2">
      <c r="A1134" s="11" t="s">
        <v>78</v>
      </c>
      <c r="B1134" s="21">
        <v>43105</v>
      </c>
      <c r="C1134" s="139" t="s">
        <v>662</v>
      </c>
      <c r="D1134" s="140"/>
      <c r="E1134" s="11" t="s">
        <v>81</v>
      </c>
      <c r="F1134" s="12">
        <v>34.9</v>
      </c>
      <c r="G1134" s="12">
        <v>65.430000000000007</v>
      </c>
      <c r="H1134" s="12">
        <v>83.48</v>
      </c>
      <c r="I1134" s="13">
        <f t="shared" si="94"/>
        <v>2283.5070000000001</v>
      </c>
      <c r="J1134" s="13">
        <f t="shared" si="95"/>
        <v>2913.4520000000002</v>
      </c>
    </row>
    <row r="1135" spans="1:10" s="1" customFormat="1" ht="25.5" customHeight="1" x14ac:dyDescent="0.2">
      <c r="A1135" s="11" t="s">
        <v>78</v>
      </c>
      <c r="B1135" s="21">
        <v>43106</v>
      </c>
      <c r="C1135" s="139" t="s">
        <v>663</v>
      </c>
      <c r="D1135" s="140"/>
      <c r="E1135" s="11" t="s">
        <v>81</v>
      </c>
      <c r="F1135" s="12">
        <v>13</v>
      </c>
      <c r="G1135" s="12">
        <v>103.37</v>
      </c>
      <c r="H1135" s="12">
        <v>131.88999999999999</v>
      </c>
      <c r="I1135" s="13">
        <f t="shared" si="94"/>
        <v>1343.81</v>
      </c>
      <c r="J1135" s="13">
        <f t="shared" si="95"/>
        <v>1714.5699999999997</v>
      </c>
    </row>
    <row r="1136" spans="1:10" s="1" customFormat="1" ht="25.5" customHeight="1" x14ac:dyDescent="0.2">
      <c r="A1136" s="8"/>
      <c r="B1136" s="9" t="s">
        <v>664</v>
      </c>
      <c r="C1136" s="137" t="s">
        <v>665</v>
      </c>
      <c r="D1136" s="138"/>
      <c r="E1136" s="8"/>
      <c r="F1136" s="8"/>
      <c r="G1136" s="8"/>
      <c r="H1136" s="8"/>
      <c r="I1136" s="8"/>
      <c r="J1136" s="8"/>
    </row>
    <row r="1137" spans="1:10" s="1" customFormat="1" ht="25.5" customHeight="1" x14ac:dyDescent="0.2">
      <c r="A1137" s="10">
        <v>89592</v>
      </c>
      <c r="B1137" s="21">
        <v>43132</v>
      </c>
      <c r="C1137" s="139" t="s">
        <v>666</v>
      </c>
      <c r="D1137" s="140"/>
      <c r="E1137" s="11" t="s">
        <v>102</v>
      </c>
      <c r="F1137" s="12">
        <v>11</v>
      </c>
      <c r="G1137" s="12">
        <v>231.71</v>
      </c>
      <c r="H1137" s="12">
        <v>295.63</v>
      </c>
      <c r="I1137" s="13">
        <f>F1137*G1137</f>
        <v>2548.81</v>
      </c>
      <c r="J1137" s="13">
        <f>F1137*H1137</f>
        <v>3251.93</v>
      </c>
    </row>
    <row r="1138" spans="1:10" s="1" customFormat="1" ht="25.5" customHeight="1" x14ac:dyDescent="0.2">
      <c r="A1138" s="10">
        <v>89587</v>
      </c>
      <c r="B1138" s="21">
        <v>43133</v>
      </c>
      <c r="C1138" s="139" t="s">
        <v>667</v>
      </c>
      <c r="D1138" s="140"/>
      <c r="E1138" s="11" t="s">
        <v>102</v>
      </c>
      <c r="F1138" s="12">
        <v>1</v>
      </c>
      <c r="G1138" s="12">
        <v>35.79</v>
      </c>
      <c r="H1138" s="12">
        <v>45.67</v>
      </c>
      <c r="I1138" s="13">
        <f>F1138*G1138</f>
        <v>35.79</v>
      </c>
      <c r="J1138" s="13">
        <f>F1138*H1138</f>
        <v>45.67</v>
      </c>
    </row>
    <row r="1139" spans="1:10" s="1" customFormat="1" ht="25.5" customHeight="1" x14ac:dyDescent="0.2">
      <c r="A1139" s="8"/>
      <c r="B1139" s="9" t="s">
        <v>668</v>
      </c>
      <c r="C1139" s="137" t="s">
        <v>635</v>
      </c>
      <c r="D1139" s="138"/>
      <c r="E1139" s="8"/>
      <c r="F1139" s="8"/>
      <c r="G1139" s="8"/>
      <c r="H1139" s="8"/>
      <c r="I1139" s="8"/>
      <c r="J1139" s="8"/>
    </row>
    <row r="1140" spans="1:10" s="1" customFormat="1" ht="25.5" customHeight="1" x14ac:dyDescent="0.2">
      <c r="A1140" s="10">
        <v>89591</v>
      </c>
      <c r="B1140" s="21">
        <v>43160</v>
      </c>
      <c r="C1140" s="139" t="s">
        <v>669</v>
      </c>
      <c r="D1140" s="140"/>
      <c r="E1140" s="11" t="s">
        <v>102</v>
      </c>
      <c r="F1140" s="12">
        <v>2</v>
      </c>
      <c r="G1140" s="12">
        <v>56.03</v>
      </c>
      <c r="H1140" s="12">
        <v>71.489999999999995</v>
      </c>
      <c r="I1140" s="13">
        <f>F1140*G1140</f>
        <v>112.06</v>
      </c>
      <c r="J1140" s="13">
        <f>F1140*H1140</f>
        <v>142.97999999999999</v>
      </c>
    </row>
    <row r="1141" spans="1:10" s="1" customFormat="1" ht="25.5" customHeight="1" x14ac:dyDescent="0.2">
      <c r="A1141" s="10">
        <v>89590</v>
      </c>
      <c r="B1141" s="21">
        <v>43161</v>
      </c>
      <c r="C1141" s="139" t="s">
        <v>670</v>
      </c>
      <c r="D1141" s="140"/>
      <c r="E1141" s="11" t="s">
        <v>102</v>
      </c>
      <c r="F1141" s="12">
        <v>2</v>
      </c>
      <c r="G1141" s="12">
        <v>68.44</v>
      </c>
      <c r="H1141" s="12">
        <v>87.32</v>
      </c>
      <c r="I1141" s="13">
        <f>F1141*G1141</f>
        <v>136.88</v>
      </c>
      <c r="J1141" s="13">
        <f>F1141*H1141</f>
        <v>174.64</v>
      </c>
    </row>
    <row r="1142" spans="1:10" s="1" customFormat="1" ht="25.5" customHeight="1" x14ac:dyDescent="0.2">
      <c r="A1142" s="8"/>
      <c r="B1142" s="9" t="s">
        <v>671</v>
      </c>
      <c r="C1142" s="137" t="s">
        <v>641</v>
      </c>
      <c r="D1142" s="138"/>
      <c r="E1142" s="8"/>
      <c r="F1142" s="8"/>
      <c r="G1142" s="8"/>
      <c r="H1142" s="8"/>
      <c r="I1142" s="8"/>
      <c r="J1142" s="8"/>
    </row>
    <row r="1143" spans="1:10" s="1" customFormat="1" ht="25.5" customHeight="1" x14ac:dyDescent="0.2">
      <c r="A1143" s="10">
        <v>89554</v>
      </c>
      <c r="B1143" s="21">
        <v>43191</v>
      </c>
      <c r="C1143" s="139" t="s">
        <v>672</v>
      </c>
      <c r="D1143" s="140"/>
      <c r="E1143" s="11" t="s">
        <v>102</v>
      </c>
      <c r="F1143" s="12">
        <v>2</v>
      </c>
      <c r="G1143" s="12">
        <v>12.67</v>
      </c>
      <c r="H1143" s="12">
        <v>16.170000000000002</v>
      </c>
      <c r="I1143" s="13">
        <f t="shared" ref="I1143:I1149" si="96">F1143*G1143</f>
        <v>25.34</v>
      </c>
      <c r="J1143" s="13">
        <f t="shared" ref="J1143:J1149" si="97">F1143*H1143</f>
        <v>32.340000000000003</v>
      </c>
    </row>
    <row r="1144" spans="1:10" s="1" customFormat="1" ht="25.5" customHeight="1" x14ac:dyDescent="0.2">
      <c r="A1144" s="10">
        <v>89677</v>
      </c>
      <c r="B1144" s="21">
        <v>43192</v>
      </c>
      <c r="C1144" s="139" t="s">
        <v>673</v>
      </c>
      <c r="D1144" s="140"/>
      <c r="E1144" s="11" t="s">
        <v>102</v>
      </c>
      <c r="F1144" s="12">
        <v>5</v>
      </c>
      <c r="G1144" s="12">
        <v>34.049999999999997</v>
      </c>
      <c r="H1144" s="12">
        <v>43.44</v>
      </c>
      <c r="I1144" s="13">
        <f t="shared" si="96"/>
        <v>170.25</v>
      </c>
      <c r="J1144" s="13">
        <f t="shared" si="97"/>
        <v>217.2</v>
      </c>
    </row>
    <row r="1145" spans="1:10" s="1" customFormat="1" ht="25.5" customHeight="1" x14ac:dyDescent="0.2">
      <c r="A1145" s="10">
        <v>3833</v>
      </c>
      <c r="B1145" s="21">
        <v>43193</v>
      </c>
      <c r="C1145" s="139" t="s">
        <v>674</v>
      </c>
      <c r="D1145" s="140"/>
      <c r="E1145" s="11" t="s">
        <v>102</v>
      </c>
      <c r="F1145" s="12">
        <v>1</v>
      </c>
      <c r="G1145" s="12">
        <v>8.4600000000000009</v>
      </c>
      <c r="H1145" s="12">
        <v>10.79</v>
      </c>
      <c r="I1145" s="13">
        <f t="shared" si="96"/>
        <v>8.4600000000000009</v>
      </c>
      <c r="J1145" s="13">
        <f t="shared" si="97"/>
        <v>10.79</v>
      </c>
    </row>
    <row r="1146" spans="1:10" s="1" customFormat="1" ht="25.5" customHeight="1" x14ac:dyDescent="0.2">
      <c r="A1146" s="10">
        <v>3835</v>
      </c>
      <c r="B1146" s="21">
        <v>43194</v>
      </c>
      <c r="C1146" s="139" t="s">
        <v>675</v>
      </c>
      <c r="D1146" s="140"/>
      <c r="E1146" s="11" t="s">
        <v>102</v>
      </c>
      <c r="F1146" s="12">
        <v>1</v>
      </c>
      <c r="G1146" s="12">
        <v>18.989999999999998</v>
      </c>
      <c r="H1146" s="12">
        <v>24.23</v>
      </c>
      <c r="I1146" s="13">
        <f t="shared" si="96"/>
        <v>18.989999999999998</v>
      </c>
      <c r="J1146" s="13">
        <f t="shared" si="97"/>
        <v>24.23</v>
      </c>
    </row>
    <row r="1147" spans="1:10" s="1" customFormat="1" ht="25.5" customHeight="1" x14ac:dyDescent="0.2">
      <c r="A1147" s="10">
        <v>3836</v>
      </c>
      <c r="B1147" s="21">
        <v>43195</v>
      </c>
      <c r="C1147" s="139" t="s">
        <v>676</v>
      </c>
      <c r="D1147" s="140"/>
      <c r="E1147" s="11" t="s">
        <v>102</v>
      </c>
      <c r="F1147" s="12">
        <v>3</v>
      </c>
      <c r="G1147" s="12">
        <v>49.1</v>
      </c>
      <c r="H1147" s="12">
        <v>62.65</v>
      </c>
      <c r="I1147" s="13">
        <f t="shared" si="96"/>
        <v>147.30000000000001</v>
      </c>
      <c r="J1147" s="13">
        <f t="shared" si="97"/>
        <v>187.95</v>
      </c>
    </row>
    <row r="1148" spans="1:10" s="1" customFormat="1" ht="25.5" customHeight="1" x14ac:dyDescent="0.2">
      <c r="A1148" s="10">
        <v>3830</v>
      </c>
      <c r="B1148" s="21">
        <v>43196</v>
      </c>
      <c r="C1148" s="139" t="s">
        <v>677</v>
      </c>
      <c r="D1148" s="140"/>
      <c r="E1148" s="11" t="s">
        <v>102</v>
      </c>
      <c r="F1148" s="12">
        <v>2</v>
      </c>
      <c r="G1148" s="12">
        <v>80.83</v>
      </c>
      <c r="H1148" s="12">
        <v>103.13</v>
      </c>
      <c r="I1148" s="13">
        <f t="shared" si="96"/>
        <v>161.66</v>
      </c>
      <c r="J1148" s="13">
        <f t="shared" si="97"/>
        <v>206.26</v>
      </c>
    </row>
    <row r="1149" spans="1:10" s="1" customFormat="1" ht="25.5" customHeight="1" x14ac:dyDescent="0.2">
      <c r="A1149" s="10">
        <v>3831</v>
      </c>
      <c r="B1149" s="21">
        <v>43197</v>
      </c>
      <c r="C1149" s="139" t="s">
        <v>678</v>
      </c>
      <c r="D1149" s="140"/>
      <c r="E1149" s="11" t="s">
        <v>102</v>
      </c>
      <c r="F1149" s="12">
        <v>1</v>
      </c>
      <c r="G1149" s="12">
        <v>125.22</v>
      </c>
      <c r="H1149" s="12">
        <v>159.77000000000001</v>
      </c>
      <c r="I1149" s="13">
        <f t="shared" si="96"/>
        <v>125.22</v>
      </c>
      <c r="J1149" s="13">
        <f t="shared" si="97"/>
        <v>159.77000000000001</v>
      </c>
    </row>
    <row r="1150" spans="1:10" s="1" customFormat="1" ht="25.5" customHeight="1" x14ac:dyDescent="0.2">
      <c r="A1150" s="8"/>
      <c r="B1150" s="9" t="s">
        <v>679</v>
      </c>
      <c r="C1150" s="137" t="s">
        <v>680</v>
      </c>
      <c r="D1150" s="138"/>
      <c r="E1150" s="8"/>
      <c r="F1150" s="8"/>
      <c r="G1150" s="8"/>
      <c r="H1150" s="8"/>
      <c r="I1150" s="8"/>
      <c r="J1150" s="8"/>
    </row>
    <row r="1151" spans="1:10" s="1" customFormat="1" ht="25.5" customHeight="1" x14ac:dyDescent="0.2">
      <c r="A1151" s="10">
        <v>38448</v>
      </c>
      <c r="B1151" s="21">
        <v>43221</v>
      </c>
      <c r="C1151" s="139" t="s">
        <v>681</v>
      </c>
      <c r="D1151" s="140"/>
      <c r="E1151" s="11" t="s">
        <v>102</v>
      </c>
      <c r="F1151" s="12">
        <v>11</v>
      </c>
      <c r="G1151" s="12">
        <v>149.65</v>
      </c>
      <c r="H1151" s="12">
        <v>190.94</v>
      </c>
      <c r="I1151" s="13">
        <f>F1151*G1151</f>
        <v>1646.15</v>
      </c>
      <c r="J1151" s="13">
        <f>F1151*H1151</f>
        <v>2100.34</v>
      </c>
    </row>
    <row r="1152" spans="1:10" s="1" customFormat="1" ht="25.5" customHeight="1" x14ac:dyDescent="0.2">
      <c r="A1152" s="10">
        <v>20183</v>
      </c>
      <c r="B1152" s="21">
        <v>43222</v>
      </c>
      <c r="C1152" s="139" t="s">
        <v>682</v>
      </c>
      <c r="D1152" s="140"/>
      <c r="E1152" s="11" t="s">
        <v>102</v>
      </c>
      <c r="F1152" s="12">
        <v>1</v>
      </c>
      <c r="G1152" s="12">
        <v>28.2</v>
      </c>
      <c r="H1152" s="12">
        <v>35.979999999999997</v>
      </c>
      <c r="I1152" s="13">
        <f>F1152*G1152</f>
        <v>28.2</v>
      </c>
      <c r="J1152" s="13">
        <f>F1152*H1152</f>
        <v>35.979999999999997</v>
      </c>
    </row>
    <row r="1153" spans="1:10" s="1" customFormat="1" ht="25.5" customHeight="1" x14ac:dyDescent="0.2">
      <c r="A1153" s="8"/>
      <c r="B1153" s="158" t="s">
        <v>683</v>
      </c>
      <c r="C1153" s="159"/>
      <c r="D1153" s="159"/>
      <c r="E1153" s="159"/>
      <c r="F1153" s="159"/>
      <c r="G1153" s="159"/>
      <c r="H1153" s="160"/>
      <c r="I1153" s="14">
        <f>SUM(I1130:I1152)-0.17</f>
        <v>14342.220999999996</v>
      </c>
      <c r="J1153" s="15">
        <f>SUM(J1130:J1152)+0.44</f>
        <v>18299.243999999999</v>
      </c>
    </row>
    <row r="1154" spans="1:10" s="1" customFormat="1" ht="25.5" customHeight="1" x14ac:dyDescent="0.2">
      <c r="A1154" s="8"/>
      <c r="B1154" s="43">
        <v>19</v>
      </c>
      <c r="C1154" s="137" t="s">
        <v>684</v>
      </c>
      <c r="D1154" s="138"/>
      <c r="E1154" s="8"/>
      <c r="F1154" s="8"/>
      <c r="G1154" s="8"/>
      <c r="H1154" s="8"/>
      <c r="I1154" s="8"/>
      <c r="J1154" s="8"/>
    </row>
    <row r="1155" spans="1:10" s="1" customFormat="1" ht="25.5" customHeight="1" x14ac:dyDescent="0.2">
      <c r="A1155" s="8"/>
      <c r="B1155" s="9" t="s">
        <v>685</v>
      </c>
      <c r="C1155" s="137" t="s">
        <v>686</v>
      </c>
      <c r="D1155" s="138"/>
      <c r="E1155" s="8"/>
      <c r="F1155" s="8"/>
      <c r="G1155" s="8"/>
      <c r="H1155" s="8"/>
      <c r="I1155" s="8"/>
      <c r="J1155" s="8"/>
    </row>
    <row r="1156" spans="1:10" s="1" customFormat="1" ht="25.5" customHeight="1" x14ac:dyDescent="0.2">
      <c r="A1156" s="11" t="s">
        <v>687</v>
      </c>
      <c r="B1156" s="21">
        <v>43466</v>
      </c>
      <c r="C1156" s="139" t="s">
        <v>688</v>
      </c>
      <c r="D1156" s="140"/>
      <c r="E1156" s="11" t="s">
        <v>102</v>
      </c>
      <c r="F1156" s="12">
        <v>11</v>
      </c>
      <c r="G1156" s="12">
        <v>45.06</v>
      </c>
      <c r="H1156" s="12">
        <v>57.5</v>
      </c>
      <c r="I1156" s="13">
        <f>F1156*G1156</f>
        <v>495.66</v>
      </c>
      <c r="J1156" s="13">
        <f>F1156*H1156</f>
        <v>632.5</v>
      </c>
    </row>
    <row r="1157" spans="1:10" s="1" customFormat="1" ht="25.5" customHeight="1" x14ac:dyDescent="0.2">
      <c r="A1157" s="11" t="s">
        <v>689</v>
      </c>
      <c r="B1157" s="21">
        <v>43467</v>
      </c>
      <c r="C1157" s="139" t="s">
        <v>690</v>
      </c>
      <c r="D1157" s="140"/>
      <c r="E1157" s="11" t="s">
        <v>102</v>
      </c>
      <c r="F1157" s="12">
        <v>1</v>
      </c>
      <c r="G1157" s="12">
        <v>26.35</v>
      </c>
      <c r="H1157" s="12">
        <v>33.619999999999997</v>
      </c>
      <c r="I1157" s="13">
        <f>F1157*G1157</f>
        <v>26.35</v>
      </c>
      <c r="J1157" s="13">
        <f>F1157*H1157</f>
        <v>33.619999999999997</v>
      </c>
    </row>
    <row r="1158" spans="1:10" s="1" customFormat="1" ht="25.5" customHeight="1" x14ac:dyDescent="0.2">
      <c r="A1158" s="8"/>
      <c r="B1158" s="9" t="s">
        <v>691</v>
      </c>
      <c r="C1158" s="137" t="s">
        <v>692</v>
      </c>
      <c r="D1158" s="138"/>
      <c r="E1158" s="8"/>
      <c r="F1158" s="8"/>
      <c r="G1158" s="8"/>
      <c r="H1158" s="8"/>
      <c r="I1158" s="8"/>
      <c r="J1158" s="8"/>
    </row>
    <row r="1159" spans="1:10" s="1" customFormat="1" ht="25.5" customHeight="1" x14ac:dyDescent="0.2">
      <c r="A1159" s="11" t="s">
        <v>693</v>
      </c>
      <c r="B1159" s="21">
        <v>43497</v>
      </c>
      <c r="C1159" s="139" t="s">
        <v>694</v>
      </c>
      <c r="D1159" s="140"/>
      <c r="E1159" s="11" t="s">
        <v>102</v>
      </c>
      <c r="F1159" s="12">
        <v>9</v>
      </c>
      <c r="G1159" s="12">
        <v>226.16</v>
      </c>
      <c r="H1159" s="12">
        <v>288.56</v>
      </c>
      <c r="I1159" s="13">
        <f>F1159*G1159</f>
        <v>2035.44</v>
      </c>
      <c r="J1159" s="13">
        <f>F1159*H1159</f>
        <v>2597.04</v>
      </c>
    </row>
    <row r="1160" spans="1:10" s="1" customFormat="1" ht="25.5" customHeight="1" x14ac:dyDescent="0.2">
      <c r="A1160" s="10">
        <v>6171</v>
      </c>
      <c r="B1160" s="21">
        <v>43498</v>
      </c>
      <c r="C1160" s="139" t="s">
        <v>695</v>
      </c>
      <c r="D1160" s="140"/>
      <c r="E1160" s="11" t="s">
        <v>102</v>
      </c>
      <c r="F1160" s="12">
        <v>9</v>
      </c>
      <c r="G1160" s="12">
        <v>21.74</v>
      </c>
      <c r="H1160" s="12">
        <v>27.74</v>
      </c>
      <c r="I1160" s="13">
        <f>F1160*G1160</f>
        <v>195.66</v>
      </c>
      <c r="J1160" s="13">
        <f>F1160*H1160</f>
        <v>249.66</v>
      </c>
    </row>
    <row r="1161" spans="1:10" s="1" customFormat="1" ht="25.5" customHeight="1" x14ac:dyDescent="0.2">
      <c r="A1161" s="11" t="s">
        <v>696</v>
      </c>
      <c r="B1161" s="21">
        <v>43499</v>
      </c>
      <c r="C1161" s="139" t="s">
        <v>697</v>
      </c>
      <c r="D1161" s="140"/>
      <c r="E1161" s="11" t="s">
        <v>102</v>
      </c>
      <c r="F1161" s="12">
        <v>5</v>
      </c>
      <c r="G1161" s="12">
        <v>165.35</v>
      </c>
      <c r="H1161" s="12">
        <v>210.97</v>
      </c>
      <c r="I1161" s="13">
        <f>F1161*G1161</f>
        <v>826.75</v>
      </c>
      <c r="J1161" s="13">
        <f>F1161*H1161</f>
        <v>1054.8499999999999</v>
      </c>
    </row>
    <row r="1162" spans="1:10" s="1" customFormat="1" ht="25.5" customHeight="1" x14ac:dyDescent="0.2">
      <c r="A1162" s="11" t="s">
        <v>698</v>
      </c>
      <c r="B1162" s="21">
        <v>43500</v>
      </c>
      <c r="C1162" s="139" t="s">
        <v>699</v>
      </c>
      <c r="D1162" s="140"/>
      <c r="E1162" s="11" t="s">
        <v>102</v>
      </c>
      <c r="F1162" s="12">
        <v>5</v>
      </c>
      <c r="G1162" s="12">
        <v>112.26</v>
      </c>
      <c r="H1162" s="12">
        <v>143.22999999999999</v>
      </c>
      <c r="I1162" s="13">
        <f>F1162*G1162</f>
        <v>561.30000000000007</v>
      </c>
      <c r="J1162" s="13">
        <f>F1162*H1162</f>
        <v>716.15</v>
      </c>
    </row>
    <row r="1163" spans="1:10" s="1" customFormat="1" ht="25.5" customHeight="1" x14ac:dyDescent="0.2">
      <c r="A1163" s="11" t="s">
        <v>700</v>
      </c>
      <c r="B1163" s="21">
        <v>43501</v>
      </c>
      <c r="C1163" s="139" t="s">
        <v>701</v>
      </c>
      <c r="D1163" s="140"/>
      <c r="E1163" s="11" t="s">
        <v>102</v>
      </c>
      <c r="F1163" s="12">
        <v>2</v>
      </c>
      <c r="G1163" s="12">
        <v>171</v>
      </c>
      <c r="H1163" s="12">
        <v>218.18</v>
      </c>
      <c r="I1163" s="13">
        <f>F1163*G1163</f>
        <v>342</v>
      </c>
      <c r="J1163" s="13">
        <f>F1163*H1163</f>
        <v>436.36</v>
      </c>
    </row>
    <row r="1164" spans="1:10" s="1" customFormat="1" ht="25.5" customHeight="1" x14ac:dyDescent="0.2">
      <c r="A1164" s="8"/>
      <c r="B1164" s="9" t="s">
        <v>702</v>
      </c>
      <c r="C1164" s="137" t="s">
        <v>703</v>
      </c>
      <c r="D1164" s="138"/>
      <c r="E1164" s="8"/>
      <c r="F1164" s="8"/>
      <c r="G1164" s="8"/>
      <c r="H1164" s="8"/>
      <c r="I1164" s="8"/>
      <c r="J1164" s="8"/>
    </row>
    <row r="1165" spans="1:10" s="1" customFormat="1" ht="25.5" customHeight="1" x14ac:dyDescent="0.2">
      <c r="A1165" s="11" t="s">
        <v>704</v>
      </c>
      <c r="B1165" s="21">
        <v>43525</v>
      </c>
      <c r="C1165" s="139" t="s">
        <v>705</v>
      </c>
      <c r="D1165" s="140"/>
      <c r="E1165" s="11" t="s">
        <v>102</v>
      </c>
      <c r="F1165" s="12">
        <v>1</v>
      </c>
      <c r="G1165" s="13">
        <v>1880.53</v>
      </c>
      <c r="H1165" s="13">
        <v>2399.37</v>
      </c>
      <c r="I1165" s="13">
        <f>F1165*G1165</f>
        <v>1880.53</v>
      </c>
      <c r="J1165" s="13">
        <f>F1165*H1165</f>
        <v>2399.37</v>
      </c>
    </row>
    <row r="1166" spans="1:10" s="1" customFormat="1" ht="25.5" customHeight="1" x14ac:dyDescent="0.2">
      <c r="A1166" s="10">
        <v>6171</v>
      </c>
      <c r="B1166" s="21">
        <v>43526</v>
      </c>
      <c r="C1166" s="139" t="s">
        <v>706</v>
      </c>
      <c r="D1166" s="140"/>
      <c r="E1166" s="11" t="s">
        <v>102</v>
      </c>
      <c r="F1166" s="12">
        <v>1</v>
      </c>
      <c r="G1166" s="12">
        <v>21.74</v>
      </c>
      <c r="H1166" s="12">
        <v>27.74</v>
      </c>
      <c r="I1166" s="13">
        <f>F1166*G1166</f>
        <v>21.74</v>
      </c>
      <c r="J1166" s="13">
        <f>F1166*H1166</f>
        <v>27.74</v>
      </c>
    </row>
    <row r="1167" spans="1:10" s="1" customFormat="1" ht="25.5" customHeight="1" x14ac:dyDescent="0.2">
      <c r="A1167" s="8"/>
      <c r="B1167" s="9" t="s">
        <v>707</v>
      </c>
      <c r="C1167" s="137" t="s">
        <v>708</v>
      </c>
      <c r="D1167" s="138"/>
      <c r="E1167" s="8"/>
      <c r="F1167" s="8"/>
      <c r="G1167" s="8"/>
      <c r="H1167" s="8"/>
      <c r="I1167" s="8"/>
      <c r="J1167" s="8"/>
    </row>
    <row r="1168" spans="1:10" s="1" customFormat="1" ht="25.5" customHeight="1" x14ac:dyDescent="0.2">
      <c r="A1168" s="10">
        <v>1332</v>
      </c>
      <c r="B1168" s="21">
        <v>43556</v>
      </c>
      <c r="C1168" s="139" t="s">
        <v>709</v>
      </c>
      <c r="D1168" s="140"/>
      <c r="E1168" s="11" t="s">
        <v>102</v>
      </c>
      <c r="F1168" s="12">
        <v>5</v>
      </c>
      <c r="G1168" s="12">
        <v>7.59</v>
      </c>
      <c r="H1168" s="12">
        <v>9.68</v>
      </c>
      <c r="I1168" s="13">
        <f>F1168*G1168</f>
        <v>37.950000000000003</v>
      </c>
      <c r="J1168" s="13">
        <f>F1168*H1168</f>
        <v>48.4</v>
      </c>
    </row>
    <row r="1169" spans="1:10" s="1" customFormat="1" ht="25.5" customHeight="1" x14ac:dyDescent="0.2">
      <c r="A1169" s="8"/>
      <c r="B1169" s="9" t="s">
        <v>710</v>
      </c>
      <c r="C1169" s="137" t="s">
        <v>711</v>
      </c>
      <c r="D1169" s="138"/>
      <c r="E1169" s="8"/>
      <c r="F1169" s="8"/>
      <c r="G1169" s="8"/>
      <c r="H1169" s="8"/>
      <c r="I1169" s="8"/>
      <c r="J1169" s="8"/>
    </row>
    <row r="1170" spans="1:10" s="1" customFormat="1" ht="25.5" customHeight="1" x14ac:dyDescent="0.2">
      <c r="A1170" s="11" t="s">
        <v>712</v>
      </c>
      <c r="B1170" s="21">
        <v>43586</v>
      </c>
      <c r="C1170" s="139" t="s">
        <v>713</v>
      </c>
      <c r="D1170" s="140"/>
      <c r="E1170" s="11" t="s">
        <v>81</v>
      </c>
      <c r="F1170" s="12">
        <v>8</v>
      </c>
      <c r="G1170" s="12">
        <v>267.89</v>
      </c>
      <c r="H1170" s="12">
        <v>341.81</v>
      </c>
      <c r="I1170" s="13">
        <f>F1170*G1170</f>
        <v>2143.12</v>
      </c>
      <c r="J1170" s="13">
        <f>F1170*H1170</f>
        <v>2734.48</v>
      </c>
    </row>
    <row r="1171" spans="1:10" s="1" customFormat="1" ht="25.5" customHeight="1" x14ac:dyDescent="0.2">
      <c r="A1171" s="11" t="s">
        <v>714</v>
      </c>
      <c r="B1171" s="21">
        <v>43587</v>
      </c>
      <c r="C1171" s="139" t="s">
        <v>715</v>
      </c>
      <c r="D1171" s="140"/>
      <c r="E1171" s="11" t="s">
        <v>81</v>
      </c>
      <c r="F1171" s="12">
        <v>2</v>
      </c>
      <c r="G1171" s="12">
        <v>57.59</v>
      </c>
      <c r="H1171" s="12">
        <v>73.48</v>
      </c>
      <c r="I1171" s="13">
        <f>F1171*G1171</f>
        <v>115.18</v>
      </c>
      <c r="J1171" s="13">
        <f>F1171*H1171</f>
        <v>146.96</v>
      </c>
    </row>
    <row r="1172" spans="1:10" s="1" customFormat="1" ht="25.5" customHeight="1" x14ac:dyDescent="0.2">
      <c r="A1172" s="8"/>
      <c r="B1172" s="149" t="s">
        <v>716</v>
      </c>
      <c r="C1172" s="150"/>
      <c r="D1172" s="150"/>
      <c r="E1172" s="150"/>
      <c r="F1172" s="150"/>
      <c r="G1172" s="151"/>
      <c r="H1172" s="8"/>
      <c r="I1172" s="14">
        <f>SUM(I1156:I1171)+0.08</f>
        <v>8681.76</v>
      </c>
      <c r="J1172" s="15">
        <f>SUM(J1156:J1171)-0.07</f>
        <v>11077.059999999998</v>
      </c>
    </row>
    <row r="1173" spans="1:10" s="1" customFormat="1" ht="25.5" customHeight="1" x14ac:dyDescent="0.2">
      <c r="A1173" s="8"/>
      <c r="B1173" s="9" t="s">
        <v>717</v>
      </c>
      <c r="C1173" s="137" t="s">
        <v>718</v>
      </c>
      <c r="D1173" s="138"/>
      <c r="E1173" s="8"/>
      <c r="F1173" s="8"/>
      <c r="G1173" s="8"/>
      <c r="H1173" s="8"/>
      <c r="I1173" s="8"/>
      <c r="J1173" s="8"/>
    </row>
    <row r="1174" spans="1:10" s="1" customFormat="1" ht="25.5" customHeight="1" x14ac:dyDescent="0.2">
      <c r="A1174" s="8"/>
      <c r="B1174" s="9" t="s">
        <v>719</v>
      </c>
      <c r="C1174" s="137" t="s">
        <v>626</v>
      </c>
      <c r="D1174" s="138"/>
      <c r="E1174" s="8"/>
      <c r="F1174" s="8"/>
      <c r="G1174" s="8"/>
      <c r="H1174" s="8"/>
      <c r="I1174" s="8"/>
      <c r="J1174" s="8"/>
    </row>
    <row r="1175" spans="1:10" s="1" customFormat="1" ht="25.5" customHeight="1" x14ac:dyDescent="0.2">
      <c r="A1175" s="10">
        <v>89580</v>
      </c>
      <c r="B1175" s="21">
        <v>43831</v>
      </c>
      <c r="C1175" s="139" t="s">
        <v>720</v>
      </c>
      <c r="D1175" s="140"/>
      <c r="E1175" s="11" t="s">
        <v>81</v>
      </c>
      <c r="F1175" s="12">
        <v>204</v>
      </c>
      <c r="G1175" s="12">
        <v>38.24</v>
      </c>
      <c r="H1175" s="12">
        <v>48.79</v>
      </c>
      <c r="I1175" s="13">
        <f>F1175*G1175</f>
        <v>7800.96</v>
      </c>
      <c r="J1175" s="13">
        <f>F1175*H1175</f>
        <v>9953.16</v>
      </c>
    </row>
    <row r="1176" spans="1:10" s="1" customFormat="1" ht="25.5" customHeight="1" x14ac:dyDescent="0.2">
      <c r="A1176" s="11" t="s">
        <v>721</v>
      </c>
      <c r="B1176" s="21">
        <v>43832</v>
      </c>
      <c r="C1176" s="139" t="s">
        <v>722</v>
      </c>
      <c r="D1176" s="140"/>
      <c r="E1176" s="11" t="s">
        <v>81</v>
      </c>
      <c r="F1176" s="12">
        <v>108</v>
      </c>
      <c r="G1176" s="12">
        <v>31.84</v>
      </c>
      <c r="H1176" s="12">
        <v>40.619999999999997</v>
      </c>
      <c r="I1176" s="13">
        <f>F1176*G1176</f>
        <v>3438.72</v>
      </c>
      <c r="J1176" s="13">
        <f>F1176*H1176</f>
        <v>4386.96</v>
      </c>
    </row>
    <row r="1177" spans="1:10" s="1" customFormat="1" ht="25.5" customHeight="1" x14ac:dyDescent="0.2">
      <c r="A1177" s="10">
        <v>89511</v>
      </c>
      <c r="B1177" s="21">
        <v>43833</v>
      </c>
      <c r="C1177" s="139" t="s">
        <v>723</v>
      </c>
      <c r="D1177" s="140"/>
      <c r="E1177" s="11" t="s">
        <v>81</v>
      </c>
      <c r="F1177" s="12">
        <v>120</v>
      </c>
      <c r="G1177" s="12">
        <v>24.3</v>
      </c>
      <c r="H1177" s="12">
        <v>31</v>
      </c>
      <c r="I1177" s="13">
        <f>F1177*G1177</f>
        <v>2916</v>
      </c>
      <c r="J1177" s="13">
        <f>F1177*H1177</f>
        <v>3720</v>
      </c>
    </row>
    <row r="1178" spans="1:10" s="1" customFormat="1" ht="25.5" customHeight="1" x14ac:dyDescent="0.2">
      <c r="A1178" s="10">
        <v>89509</v>
      </c>
      <c r="B1178" s="21">
        <v>43834</v>
      </c>
      <c r="C1178" s="139" t="s">
        <v>724</v>
      </c>
      <c r="D1178" s="140"/>
      <c r="E1178" s="11" t="s">
        <v>81</v>
      </c>
      <c r="F1178" s="12">
        <v>210</v>
      </c>
      <c r="G1178" s="12">
        <v>16.3</v>
      </c>
      <c r="H1178" s="12">
        <v>20.8</v>
      </c>
      <c r="I1178" s="13">
        <f>F1178*G1178</f>
        <v>3423</v>
      </c>
      <c r="J1178" s="13">
        <f>F1178*H1178</f>
        <v>4368</v>
      </c>
    </row>
    <row r="1179" spans="1:10" s="1" customFormat="1" ht="25.5" customHeight="1" x14ac:dyDescent="0.2">
      <c r="A1179" s="10">
        <v>89508</v>
      </c>
      <c r="B1179" s="21">
        <v>43835</v>
      </c>
      <c r="C1179" s="139" t="s">
        <v>725</v>
      </c>
      <c r="D1179" s="140"/>
      <c r="E1179" s="11" t="s">
        <v>81</v>
      </c>
      <c r="F1179" s="12">
        <v>102</v>
      </c>
      <c r="G1179" s="12">
        <v>11.22</v>
      </c>
      <c r="H1179" s="12">
        <v>14.32</v>
      </c>
      <c r="I1179" s="13">
        <f>F1179*G1179</f>
        <v>1144.44</v>
      </c>
      <c r="J1179" s="13">
        <f>F1179*H1179</f>
        <v>1460.64</v>
      </c>
    </row>
    <row r="1180" spans="1:10" s="1" customFormat="1" ht="25.5" customHeight="1" x14ac:dyDescent="0.2">
      <c r="A1180" s="8"/>
      <c r="B1180" s="9" t="s">
        <v>726</v>
      </c>
      <c r="C1180" s="137" t="s">
        <v>727</v>
      </c>
      <c r="D1180" s="138"/>
      <c r="E1180" s="8"/>
      <c r="F1180" s="8"/>
      <c r="G1180" s="8"/>
      <c r="H1180" s="8"/>
      <c r="I1180" s="8"/>
      <c r="J1180" s="8"/>
    </row>
    <row r="1181" spans="1:10" s="1" customFormat="1" ht="25.5" customHeight="1" x14ac:dyDescent="0.2">
      <c r="A1181" s="11" t="s">
        <v>728</v>
      </c>
      <c r="B1181" s="21">
        <v>43862</v>
      </c>
      <c r="C1181" s="139" t="s">
        <v>729</v>
      </c>
      <c r="D1181" s="140"/>
      <c r="E1181" s="11" t="s">
        <v>102</v>
      </c>
      <c r="F1181" s="12">
        <v>2</v>
      </c>
      <c r="G1181" s="12">
        <v>11.18</v>
      </c>
      <c r="H1181" s="12">
        <v>14.26</v>
      </c>
      <c r="I1181" s="13">
        <f>F1181*G1181</f>
        <v>22.36</v>
      </c>
      <c r="J1181" s="13">
        <f>F1181*H1181</f>
        <v>28.52</v>
      </c>
    </row>
    <row r="1182" spans="1:10" s="1" customFormat="1" ht="25.5" customHeight="1" x14ac:dyDescent="0.2">
      <c r="A1182" s="8"/>
      <c r="B1182" s="9" t="s">
        <v>730</v>
      </c>
      <c r="C1182" s="137" t="s">
        <v>635</v>
      </c>
      <c r="D1182" s="138"/>
      <c r="E1182" s="8"/>
      <c r="F1182" s="8"/>
      <c r="G1182" s="8"/>
      <c r="H1182" s="8"/>
      <c r="I1182" s="8"/>
      <c r="J1182" s="12">
        <v>0</v>
      </c>
    </row>
    <row r="1183" spans="1:10" s="1" customFormat="1" ht="25.5" customHeight="1" x14ac:dyDescent="0.2">
      <c r="A1183" s="10">
        <v>20151</v>
      </c>
      <c r="B1183" s="21">
        <v>43891</v>
      </c>
      <c r="C1183" s="139" t="s">
        <v>731</v>
      </c>
      <c r="D1183" s="140"/>
      <c r="E1183" s="11" t="s">
        <v>102</v>
      </c>
      <c r="F1183" s="12">
        <v>11</v>
      </c>
      <c r="G1183" s="12">
        <v>15.18</v>
      </c>
      <c r="H1183" s="12">
        <v>19.37</v>
      </c>
      <c r="I1183" s="13">
        <f t="shared" ref="I1183:I1190" si="98">F1183*G1183</f>
        <v>166.98</v>
      </c>
      <c r="J1183" s="13">
        <f t="shared" ref="J1183:J1190" si="99">F1183*H1183</f>
        <v>213.07000000000002</v>
      </c>
    </row>
    <row r="1184" spans="1:10" s="1" customFormat="1" ht="25.5" customHeight="1" x14ac:dyDescent="0.2">
      <c r="A1184" s="10">
        <v>20150</v>
      </c>
      <c r="B1184" s="21">
        <v>43892</v>
      </c>
      <c r="C1184" s="139" t="s">
        <v>732</v>
      </c>
      <c r="D1184" s="140"/>
      <c r="E1184" s="11" t="s">
        <v>102</v>
      </c>
      <c r="F1184" s="12">
        <v>18</v>
      </c>
      <c r="G1184" s="12">
        <v>11.04</v>
      </c>
      <c r="H1184" s="12">
        <v>14.09</v>
      </c>
      <c r="I1184" s="13">
        <f t="shared" si="98"/>
        <v>198.71999999999997</v>
      </c>
      <c r="J1184" s="13">
        <f t="shared" si="99"/>
        <v>253.62</v>
      </c>
    </row>
    <row r="1185" spans="1:10" s="1" customFormat="1" ht="25.5" customHeight="1" x14ac:dyDescent="0.2">
      <c r="A1185" s="10">
        <v>20149</v>
      </c>
      <c r="B1185" s="21">
        <v>43893</v>
      </c>
      <c r="C1185" s="139" t="s">
        <v>733</v>
      </c>
      <c r="D1185" s="140"/>
      <c r="E1185" s="11" t="s">
        <v>102</v>
      </c>
      <c r="F1185" s="12">
        <v>13</v>
      </c>
      <c r="G1185" s="12">
        <v>4.2</v>
      </c>
      <c r="H1185" s="12">
        <v>5.36</v>
      </c>
      <c r="I1185" s="13">
        <f t="shared" si="98"/>
        <v>54.6</v>
      </c>
      <c r="J1185" s="13">
        <f t="shared" si="99"/>
        <v>69.680000000000007</v>
      </c>
    </row>
    <row r="1186" spans="1:10" s="1" customFormat="1" ht="25.5" customHeight="1" x14ac:dyDescent="0.2">
      <c r="A1186" s="10">
        <v>20148</v>
      </c>
      <c r="B1186" s="21">
        <v>43894</v>
      </c>
      <c r="C1186" s="139" t="s">
        <v>734</v>
      </c>
      <c r="D1186" s="140"/>
      <c r="E1186" s="11" t="s">
        <v>102</v>
      </c>
      <c r="F1186" s="12">
        <v>33</v>
      </c>
      <c r="G1186" s="12">
        <v>2.79</v>
      </c>
      <c r="H1186" s="12">
        <v>3.56</v>
      </c>
      <c r="I1186" s="13">
        <f t="shared" si="98"/>
        <v>92.070000000000007</v>
      </c>
      <c r="J1186" s="13">
        <f t="shared" si="99"/>
        <v>117.48</v>
      </c>
    </row>
    <row r="1187" spans="1:10" s="1" customFormat="1" ht="25.5" customHeight="1" x14ac:dyDescent="0.2">
      <c r="A1187" s="10">
        <v>20157</v>
      </c>
      <c r="B1187" s="21">
        <v>43895</v>
      </c>
      <c r="C1187" s="139" t="s">
        <v>735</v>
      </c>
      <c r="D1187" s="140"/>
      <c r="E1187" s="11" t="s">
        <v>102</v>
      </c>
      <c r="F1187" s="12">
        <v>23</v>
      </c>
      <c r="G1187" s="12">
        <v>18.87</v>
      </c>
      <c r="H1187" s="12">
        <v>24.08</v>
      </c>
      <c r="I1187" s="13">
        <f t="shared" si="98"/>
        <v>434.01000000000005</v>
      </c>
      <c r="J1187" s="13">
        <f t="shared" si="99"/>
        <v>553.83999999999992</v>
      </c>
    </row>
    <row r="1188" spans="1:10" s="1" customFormat="1" ht="25.5" customHeight="1" x14ac:dyDescent="0.2">
      <c r="A1188" s="10">
        <v>20156</v>
      </c>
      <c r="B1188" s="21">
        <v>43896</v>
      </c>
      <c r="C1188" s="139" t="s">
        <v>736</v>
      </c>
      <c r="D1188" s="140"/>
      <c r="E1188" s="11" t="s">
        <v>102</v>
      </c>
      <c r="F1188" s="12">
        <v>7</v>
      </c>
      <c r="G1188" s="12">
        <v>11.44</v>
      </c>
      <c r="H1188" s="12">
        <v>14.6</v>
      </c>
      <c r="I1188" s="13">
        <f t="shared" si="98"/>
        <v>80.08</v>
      </c>
      <c r="J1188" s="13">
        <f t="shared" si="99"/>
        <v>102.2</v>
      </c>
    </row>
    <row r="1189" spans="1:10" s="1" customFormat="1" ht="25.5" customHeight="1" x14ac:dyDescent="0.2">
      <c r="A1189" s="10">
        <v>20155</v>
      </c>
      <c r="B1189" s="21">
        <v>43897</v>
      </c>
      <c r="C1189" s="139" t="s">
        <v>737</v>
      </c>
      <c r="D1189" s="140"/>
      <c r="E1189" s="11" t="s">
        <v>102</v>
      </c>
      <c r="F1189" s="12">
        <v>80</v>
      </c>
      <c r="G1189" s="12">
        <v>4.8099999999999996</v>
      </c>
      <c r="H1189" s="12">
        <v>6.14</v>
      </c>
      <c r="I1189" s="13">
        <f t="shared" si="98"/>
        <v>384.79999999999995</v>
      </c>
      <c r="J1189" s="13">
        <f t="shared" si="99"/>
        <v>491.2</v>
      </c>
    </row>
    <row r="1190" spans="1:10" s="1" customFormat="1" ht="25.5" customHeight="1" x14ac:dyDescent="0.2">
      <c r="A1190" s="10">
        <v>20154</v>
      </c>
      <c r="B1190" s="21">
        <v>43898</v>
      </c>
      <c r="C1190" s="139" t="s">
        <v>738</v>
      </c>
      <c r="D1190" s="140"/>
      <c r="E1190" s="11" t="s">
        <v>102</v>
      </c>
      <c r="F1190" s="12">
        <v>69</v>
      </c>
      <c r="G1190" s="12">
        <v>3.07</v>
      </c>
      <c r="H1190" s="12">
        <v>3.92</v>
      </c>
      <c r="I1190" s="13">
        <f t="shared" si="98"/>
        <v>211.82999999999998</v>
      </c>
      <c r="J1190" s="13">
        <f t="shared" si="99"/>
        <v>270.48</v>
      </c>
    </row>
    <row r="1191" spans="1:10" s="1" customFormat="1" ht="25.5" customHeight="1" x14ac:dyDescent="0.2">
      <c r="A1191" s="8"/>
      <c r="B1191" s="9" t="s">
        <v>739</v>
      </c>
      <c r="C1191" s="137" t="s">
        <v>740</v>
      </c>
      <c r="D1191" s="138"/>
      <c r="E1191" s="8"/>
      <c r="F1191" s="8"/>
      <c r="G1191" s="8"/>
      <c r="H1191" s="8"/>
      <c r="I1191" s="8"/>
      <c r="J1191" s="8"/>
    </row>
    <row r="1192" spans="1:10" s="1" customFormat="1" ht="25.5" customHeight="1" x14ac:dyDescent="0.2">
      <c r="A1192" s="10">
        <v>20141</v>
      </c>
      <c r="B1192" s="21">
        <v>43922</v>
      </c>
      <c r="C1192" s="139" t="s">
        <v>741</v>
      </c>
      <c r="D1192" s="140"/>
      <c r="E1192" s="11" t="s">
        <v>102</v>
      </c>
      <c r="F1192" s="12">
        <v>6</v>
      </c>
      <c r="G1192" s="12">
        <v>8.65</v>
      </c>
      <c r="H1192" s="12">
        <v>11.04</v>
      </c>
      <c r="I1192" s="13">
        <f>F1192*G1192</f>
        <v>51.900000000000006</v>
      </c>
      <c r="J1192" s="13">
        <f>F1192*H1192</f>
        <v>66.239999999999995</v>
      </c>
    </row>
    <row r="1193" spans="1:10" s="1" customFormat="1" ht="25.5" customHeight="1" x14ac:dyDescent="0.2">
      <c r="A1193" s="10">
        <v>20140</v>
      </c>
      <c r="B1193" s="21">
        <v>43923</v>
      </c>
      <c r="C1193" s="139" t="s">
        <v>742</v>
      </c>
      <c r="D1193" s="140"/>
      <c r="E1193" s="11" t="s">
        <v>102</v>
      </c>
      <c r="F1193" s="12">
        <v>3</v>
      </c>
      <c r="G1193" s="12">
        <v>5.75</v>
      </c>
      <c r="H1193" s="12">
        <v>7.34</v>
      </c>
      <c r="I1193" s="13">
        <f>F1193*G1193</f>
        <v>17.25</v>
      </c>
      <c r="J1193" s="13">
        <f>F1193*H1193</f>
        <v>22.02</v>
      </c>
    </row>
    <row r="1194" spans="1:10" s="1" customFormat="1" ht="25.5" customHeight="1" x14ac:dyDescent="0.2">
      <c r="A1194" s="8"/>
      <c r="B1194" s="9" t="s">
        <v>743</v>
      </c>
      <c r="C1194" s="137" t="s">
        <v>641</v>
      </c>
      <c r="D1194" s="138"/>
      <c r="E1194" s="8"/>
      <c r="F1194" s="8"/>
      <c r="G1194" s="8"/>
      <c r="H1194" s="8"/>
      <c r="I1194" s="8"/>
      <c r="J1194" s="8"/>
    </row>
    <row r="1195" spans="1:10" s="1" customFormat="1" ht="25.5" customHeight="1" x14ac:dyDescent="0.2">
      <c r="A1195" s="10">
        <v>20171</v>
      </c>
      <c r="B1195" s="21">
        <v>43952</v>
      </c>
      <c r="C1195" s="139" t="s">
        <v>744</v>
      </c>
      <c r="D1195" s="140"/>
      <c r="E1195" s="11" t="s">
        <v>102</v>
      </c>
      <c r="F1195" s="12">
        <v>13</v>
      </c>
      <c r="G1195" s="12">
        <v>25.8</v>
      </c>
      <c r="H1195" s="12">
        <v>32.92</v>
      </c>
      <c r="I1195" s="13">
        <f>F1195*G1195</f>
        <v>335.40000000000003</v>
      </c>
      <c r="J1195" s="13">
        <f>F1195*H1195</f>
        <v>427.96000000000004</v>
      </c>
    </row>
    <row r="1196" spans="1:10" s="1" customFormat="1" ht="25.5" customHeight="1" x14ac:dyDescent="0.2">
      <c r="A1196" s="10">
        <v>20170</v>
      </c>
      <c r="B1196" s="21">
        <v>43953</v>
      </c>
      <c r="C1196" s="139" t="s">
        <v>745</v>
      </c>
      <c r="D1196" s="140"/>
      <c r="E1196" s="11" t="s">
        <v>102</v>
      </c>
      <c r="F1196" s="12">
        <v>7</v>
      </c>
      <c r="G1196" s="12">
        <v>8.23</v>
      </c>
      <c r="H1196" s="12">
        <v>10.5</v>
      </c>
      <c r="I1196" s="13">
        <f>F1196*G1196</f>
        <v>57.61</v>
      </c>
      <c r="J1196" s="13">
        <f>F1196*H1196</f>
        <v>73.5</v>
      </c>
    </row>
    <row r="1197" spans="1:10" s="1" customFormat="1" ht="25.5" customHeight="1" x14ac:dyDescent="0.2">
      <c r="A1197" s="10">
        <v>20169</v>
      </c>
      <c r="B1197" s="21">
        <v>43954</v>
      </c>
      <c r="C1197" s="139" t="s">
        <v>746</v>
      </c>
      <c r="D1197" s="140"/>
      <c r="E1197" s="11" t="s">
        <v>102</v>
      </c>
      <c r="F1197" s="12">
        <v>8</v>
      </c>
      <c r="G1197" s="12">
        <v>6.79</v>
      </c>
      <c r="H1197" s="12">
        <v>8.66</v>
      </c>
      <c r="I1197" s="13">
        <f>F1197*G1197</f>
        <v>54.32</v>
      </c>
      <c r="J1197" s="13">
        <f>F1197*H1197</f>
        <v>69.28</v>
      </c>
    </row>
    <row r="1198" spans="1:10" s="1" customFormat="1" ht="25.5" customHeight="1" x14ac:dyDescent="0.2">
      <c r="A1198" s="10">
        <v>20168</v>
      </c>
      <c r="B1198" s="21">
        <v>43955</v>
      </c>
      <c r="C1198" s="139" t="s">
        <v>747</v>
      </c>
      <c r="D1198" s="140"/>
      <c r="E1198" s="11" t="s">
        <v>102</v>
      </c>
      <c r="F1198" s="12">
        <v>14</v>
      </c>
      <c r="G1198" s="12">
        <v>4.83</v>
      </c>
      <c r="H1198" s="12">
        <v>6.16</v>
      </c>
      <c r="I1198" s="13">
        <f>F1198*G1198</f>
        <v>67.62</v>
      </c>
      <c r="J1198" s="13">
        <f>F1198*H1198</f>
        <v>86.240000000000009</v>
      </c>
    </row>
    <row r="1199" spans="1:10" s="1" customFormat="1" ht="25.5" customHeight="1" x14ac:dyDescent="0.2">
      <c r="A1199" s="10">
        <v>20167</v>
      </c>
      <c r="B1199" s="21">
        <v>43956</v>
      </c>
      <c r="C1199" s="139" t="s">
        <v>748</v>
      </c>
      <c r="D1199" s="140"/>
      <c r="E1199" s="11" t="s">
        <v>102</v>
      </c>
      <c r="F1199" s="12">
        <v>7</v>
      </c>
      <c r="G1199" s="12">
        <v>3.24</v>
      </c>
      <c r="H1199" s="12">
        <v>4.13</v>
      </c>
      <c r="I1199" s="13">
        <f>F1199*G1199</f>
        <v>22.68</v>
      </c>
      <c r="J1199" s="13">
        <f>F1199*H1199</f>
        <v>28.91</v>
      </c>
    </row>
    <row r="1200" spans="1:10" s="1" customFormat="1" ht="25.5" customHeight="1" x14ac:dyDescent="0.2">
      <c r="A1200" s="8"/>
      <c r="B1200" s="9" t="s">
        <v>749</v>
      </c>
      <c r="C1200" s="137" t="s">
        <v>750</v>
      </c>
      <c r="D1200" s="138"/>
      <c r="E1200" s="8"/>
      <c r="F1200" s="8"/>
      <c r="G1200" s="8"/>
      <c r="H1200" s="8"/>
      <c r="I1200" s="8"/>
      <c r="J1200" s="8"/>
    </row>
    <row r="1201" spans="1:10" s="1" customFormat="1" ht="25.5" customHeight="1" x14ac:dyDescent="0.2">
      <c r="A1201" s="10">
        <v>20042</v>
      </c>
      <c r="B1201" s="21">
        <v>43983</v>
      </c>
      <c r="C1201" s="139" t="s">
        <v>751</v>
      </c>
      <c r="D1201" s="140"/>
      <c r="E1201" s="11" t="s">
        <v>102</v>
      </c>
      <c r="F1201" s="12">
        <v>9</v>
      </c>
      <c r="G1201" s="12">
        <v>3.11</v>
      </c>
      <c r="H1201" s="12">
        <v>3.97</v>
      </c>
      <c r="I1201" s="13">
        <f>F1201*G1201</f>
        <v>27.99</v>
      </c>
      <c r="J1201" s="13">
        <f>F1201*H1201</f>
        <v>35.730000000000004</v>
      </c>
    </row>
    <row r="1202" spans="1:10" s="1" customFormat="1" ht="25.5" customHeight="1" x14ac:dyDescent="0.2">
      <c r="A1202" s="10">
        <v>38418</v>
      </c>
      <c r="B1202" s="21">
        <v>43984</v>
      </c>
      <c r="C1202" s="139" t="s">
        <v>752</v>
      </c>
      <c r="D1202" s="140"/>
      <c r="E1202" s="11" t="s">
        <v>102</v>
      </c>
      <c r="F1202" s="12">
        <v>2</v>
      </c>
      <c r="G1202" s="12">
        <v>3.14</v>
      </c>
      <c r="H1202" s="12">
        <v>4.01</v>
      </c>
      <c r="I1202" s="13">
        <f>F1202*G1202</f>
        <v>6.28</v>
      </c>
      <c r="J1202" s="13">
        <f>F1202*H1202</f>
        <v>8.02</v>
      </c>
    </row>
    <row r="1203" spans="1:10" s="1" customFormat="1" ht="25.5" customHeight="1" x14ac:dyDescent="0.2">
      <c r="A1203" s="8"/>
      <c r="B1203" s="9" t="s">
        <v>753</v>
      </c>
      <c r="C1203" s="137" t="s">
        <v>754</v>
      </c>
      <c r="D1203" s="138"/>
      <c r="E1203" s="8"/>
      <c r="F1203" s="8"/>
      <c r="G1203" s="8"/>
      <c r="H1203" s="8"/>
      <c r="I1203" s="8"/>
      <c r="J1203" s="8"/>
    </row>
    <row r="1204" spans="1:10" s="1" customFormat="1" ht="25.5" customHeight="1" x14ac:dyDescent="0.2">
      <c r="A1204" s="10">
        <v>89834</v>
      </c>
      <c r="B1204" s="21">
        <v>44013</v>
      </c>
      <c r="C1204" s="139" t="s">
        <v>755</v>
      </c>
      <c r="D1204" s="140"/>
      <c r="E1204" s="11" t="s">
        <v>102</v>
      </c>
      <c r="F1204" s="12">
        <v>23</v>
      </c>
      <c r="G1204" s="12">
        <v>26.88</v>
      </c>
      <c r="H1204" s="12">
        <v>34.299999999999997</v>
      </c>
      <c r="I1204" s="13">
        <f>F1204*G1204</f>
        <v>618.24</v>
      </c>
      <c r="J1204" s="13">
        <f>F1204*H1204</f>
        <v>788.9</v>
      </c>
    </row>
    <row r="1205" spans="1:10" s="1" customFormat="1" ht="25.5" customHeight="1" x14ac:dyDescent="0.2">
      <c r="A1205" s="8"/>
      <c r="B1205" s="9" t="s">
        <v>756</v>
      </c>
      <c r="C1205" s="137" t="s">
        <v>757</v>
      </c>
      <c r="D1205" s="138"/>
      <c r="E1205" s="8"/>
      <c r="F1205" s="8"/>
      <c r="G1205" s="8"/>
      <c r="H1205" s="8"/>
      <c r="I1205" s="8"/>
      <c r="J1205" s="8"/>
    </row>
    <row r="1206" spans="1:10" s="1" customFormat="1" ht="25.5" customHeight="1" x14ac:dyDescent="0.2">
      <c r="A1206" s="10">
        <v>6138</v>
      </c>
      <c r="B1206" s="21">
        <v>44044</v>
      </c>
      <c r="C1206" s="139" t="s">
        <v>758</v>
      </c>
      <c r="D1206" s="140"/>
      <c r="E1206" s="11" t="s">
        <v>102</v>
      </c>
      <c r="F1206" s="12">
        <v>23</v>
      </c>
      <c r="G1206" s="12">
        <v>1.66</v>
      </c>
      <c r="H1206" s="12">
        <v>2.12</v>
      </c>
      <c r="I1206" s="13">
        <f>F1206*G1206</f>
        <v>38.18</v>
      </c>
      <c r="J1206" s="13">
        <f>F1206*H1206</f>
        <v>48.760000000000005</v>
      </c>
    </row>
    <row r="1207" spans="1:10" s="1" customFormat="1" ht="25.5" customHeight="1" x14ac:dyDescent="0.2">
      <c r="A1207" s="8"/>
      <c r="B1207" s="9" t="s">
        <v>759</v>
      </c>
      <c r="C1207" s="137" t="s">
        <v>760</v>
      </c>
      <c r="D1207" s="138"/>
      <c r="E1207" s="8"/>
      <c r="F1207" s="8"/>
      <c r="G1207" s="8"/>
      <c r="H1207" s="8"/>
      <c r="I1207" s="13"/>
      <c r="J1207" s="13"/>
    </row>
    <row r="1208" spans="1:10" s="1" customFormat="1" ht="25.5" customHeight="1" x14ac:dyDescent="0.2">
      <c r="A1208" s="36">
        <v>84</v>
      </c>
      <c r="B1208" s="21">
        <v>44075</v>
      </c>
      <c r="C1208" s="139" t="s">
        <v>761</v>
      </c>
      <c r="D1208" s="140"/>
      <c r="E1208" s="11" t="s">
        <v>102</v>
      </c>
      <c r="F1208" s="12">
        <v>17</v>
      </c>
      <c r="G1208" s="12">
        <v>1.34</v>
      </c>
      <c r="H1208" s="12">
        <v>1.71</v>
      </c>
      <c r="I1208" s="13">
        <f>F1208*G1208</f>
        <v>22.78</v>
      </c>
      <c r="J1208" s="13">
        <f>F1208*H1208</f>
        <v>29.07</v>
      </c>
    </row>
    <row r="1209" spans="1:10" s="1" customFormat="1" ht="25.5" customHeight="1" x14ac:dyDescent="0.2">
      <c r="A1209" s="8"/>
      <c r="B1209" s="9" t="s">
        <v>762</v>
      </c>
      <c r="C1209" s="137" t="s">
        <v>450</v>
      </c>
      <c r="D1209" s="138"/>
      <c r="E1209" s="8"/>
      <c r="F1209" s="8"/>
      <c r="G1209" s="8"/>
      <c r="H1209" s="8"/>
      <c r="I1209" s="8"/>
      <c r="J1209" s="8"/>
    </row>
    <row r="1210" spans="1:10" s="1" customFormat="1" ht="25.5" customHeight="1" x14ac:dyDescent="0.2">
      <c r="A1210" s="10">
        <v>20178</v>
      </c>
      <c r="B1210" s="25">
        <v>44105</v>
      </c>
      <c r="C1210" s="139" t="s">
        <v>763</v>
      </c>
      <c r="D1210" s="140"/>
      <c r="E1210" s="11" t="s">
        <v>102</v>
      </c>
      <c r="F1210" s="12">
        <v>23</v>
      </c>
      <c r="G1210" s="12">
        <v>21.6</v>
      </c>
      <c r="H1210" s="12">
        <v>27.56</v>
      </c>
      <c r="I1210" s="13">
        <f>F1210*G1210</f>
        <v>496.8</v>
      </c>
      <c r="J1210" s="13">
        <f>F1210*H1210</f>
        <v>633.88</v>
      </c>
    </row>
    <row r="1211" spans="1:10" s="1" customFormat="1" ht="25.5" customHeight="1" x14ac:dyDescent="0.2">
      <c r="A1211" s="11" t="s">
        <v>308</v>
      </c>
      <c r="B1211" s="25">
        <v>44106</v>
      </c>
      <c r="C1211" s="139" t="s">
        <v>764</v>
      </c>
      <c r="D1211" s="140"/>
      <c r="E1211" s="11" t="s">
        <v>102</v>
      </c>
      <c r="F1211" s="12">
        <v>21</v>
      </c>
      <c r="G1211" s="12">
        <v>15.9</v>
      </c>
      <c r="H1211" s="12">
        <v>20.29</v>
      </c>
      <c r="I1211" s="13">
        <f>F1211*G1211</f>
        <v>333.90000000000003</v>
      </c>
      <c r="J1211" s="13">
        <f>F1211*H1211</f>
        <v>426.09</v>
      </c>
    </row>
    <row r="1212" spans="1:10" s="1" customFormat="1" ht="25.5" customHeight="1" x14ac:dyDescent="0.2">
      <c r="A1212" s="10">
        <v>20179</v>
      </c>
      <c r="B1212" s="25">
        <v>44107</v>
      </c>
      <c r="C1212" s="139" t="s">
        <v>765</v>
      </c>
      <c r="D1212" s="140"/>
      <c r="E1212" s="11" t="s">
        <v>102</v>
      </c>
      <c r="F1212" s="12">
        <v>2</v>
      </c>
      <c r="G1212" s="12">
        <v>29.74</v>
      </c>
      <c r="H1212" s="12">
        <v>37.950000000000003</v>
      </c>
      <c r="I1212" s="13">
        <f>F1212*G1212</f>
        <v>59.48</v>
      </c>
      <c r="J1212" s="13">
        <f>F1212*H1212</f>
        <v>75.900000000000006</v>
      </c>
    </row>
    <row r="1213" spans="1:10" s="1" customFormat="1" ht="25.5" customHeight="1" x14ac:dyDescent="0.2">
      <c r="A1213" s="10">
        <v>20177</v>
      </c>
      <c r="B1213" s="25">
        <v>44108</v>
      </c>
      <c r="C1213" s="139" t="s">
        <v>766</v>
      </c>
      <c r="D1213" s="140"/>
      <c r="E1213" s="11" t="s">
        <v>102</v>
      </c>
      <c r="F1213" s="12">
        <v>4</v>
      </c>
      <c r="G1213" s="12">
        <v>17.09</v>
      </c>
      <c r="H1213" s="12">
        <v>21.81</v>
      </c>
      <c r="I1213" s="13">
        <f>F1213*G1213</f>
        <v>68.36</v>
      </c>
      <c r="J1213" s="13">
        <f>F1213*H1213</f>
        <v>87.24</v>
      </c>
    </row>
    <row r="1214" spans="1:10" s="1" customFormat="1" ht="25.5" customHeight="1" x14ac:dyDescent="0.2">
      <c r="A1214" s="10">
        <v>7097</v>
      </c>
      <c r="B1214" s="25">
        <v>44109</v>
      </c>
      <c r="C1214" s="139" t="s">
        <v>767</v>
      </c>
      <c r="D1214" s="140"/>
      <c r="E1214" s="11" t="s">
        <v>102</v>
      </c>
      <c r="F1214" s="12">
        <v>50</v>
      </c>
      <c r="G1214" s="12">
        <v>5.2</v>
      </c>
      <c r="H1214" s="12">
        <v>6.63</v>
      </c>
      <c r="I1214" s="13">
        <f>F1214*G1214</f>
        <v>260</v>
      </c>
      <c r="J1214" s="13">
        <f>F1214*H1214</f>
        <v>331.5</v>
      </c>
    </row>
    <row r="1215" spans="1:10" s="1" customFormat="1" ht="25.5" customHeight="1" x14ac:dyDescent="0.2">
      <c r="A1215" s="8"/>
      <c r="B1215" s="9" t="s">
        <v>768</v>
      </c>
      <c r="C1215" s="137" t="s">
        <v>684</v>
      </c>
      <c r="D1215" s="138"/>
      <c r="E1215" s="8"/>
      <c r="F1215" s="8"/>
      <c r="G1215" s="8"/>
      <c r="H1215" s="8"/>
      <c r="I1215" s="8"/>
      <c r="J1215" s="8"/>
    </row>
    <row r="1216" spans="1:10" s="1" customFormat="1" ht="25.5" customHeight="1" x14ac:dyDescent="0.2">
      <c r="A1216" s="8"/>
      <c r="B1216" s="26">
        <v>44136</v>
      </c>
      <c r="C1216" s="137" t="s">
        <v>769</v>
      </c>
      <c r="D1216" s="138"/>
      <c r="E1216" s="8"/>
      <c r="F1216" s="8"/>
      <c r="G1216" s="8"/>
      <c r="H1216" s="8"/>
      <c r="I1216" s="8"/>
      <c r="J1216" s="8"/>
    </row>
    <row r="1217" spans="1:10" s="1" customFormat="1" ht="25.5" customHeight="1" x14ac:dyDescent="0.2">
      <c r="A1217" s="10">
        <v>11880</v>
      </c>
      <c r="B1217" s="11" t="s">
        <v>770</v>
      </c>
      <c r="C1217" s="139" t="s">
        <v>771</v>
      </c>
      <c r="D1217" s="140"/>
      <c r="E1217" s="11" t="s">
        <v>102</v>
      </c>
      <c r="F1217" s="12">
        <v>4</v>
      </c>
      <c r="G1217" s="12">
        <v>68.53</v>
      </c>
      <c r="H1217" s="12">
        <v>87.44</v>
      </c>
      <c r="I1217" s="13">
        <f>F1217*G1217</f>
        <v>274.12</v>
      </c>
      <c r="J1217" s="13">
        <f>F1217*H1217</f>
        <v>349.76</v>
      </c>
    </row>
    <row r="1218" spans="1:10" s="1" customFormat="1" ht="25.5" customHeight="1" x14ac:dyDescent="0.2">
      <c r="A1218" s="10">
        <v>89491</v>
      </c>
      <c r="B1218" s="11" t="s">
        <v>772</v>
      </c>
      <c r="C1218" s="139" t="s">
        <v>773</v>
      </c>
      <c r="D1218" s="140"/>
      <c r="E1218" s="11" t="s">
        <v>102</v>
      </c>
      <c r="F1218" s="12">
        <v>18</v>
      </c>
      <c r="G1218" s="12">
        <v>44.44</v>
      </c>
      <c r="H1218" s="12">
        <v>56.7</v>
      </c>
      <c r="I1218" s="13">
        <f>F1218*G1218</f>
        <v>799.92</v>
      </c>
      <c r="J1218" s="13">
        <f>F1218*H1218</f>
        <v>1020.6</v>
      </c>
    </row>
    <row r="1219" spans="1:10" s="1" customFormat="1" ht="25.5" customHeight="1" x14ac:dyDescent="0.2">
      <c r="A1219" s="8"/>
      <c r="B1219" s="26">
        <v>44137</v>
      </c>
      <c r="C1219" s="137" t="s">
        <v>774</v>
      </c>
      <c r="D1219" s="138"/>
      <c r="E1219" s="8"/>
      <c r="F1219" s="8"/>
      <c r="G1219" s="8"/>
      <c r="H1219" s="8"/>
      <c r="I1219" s="13">
        <f>F1219*G1219</f>
        <v>0</v>
      </c>
      <c r="J1219" s="13">
        <f>F1219*H1219</f>
        <v>0</v>
      </c>
    </row>
    <row r="1220" spans="1:10" s="1" customFormat="1" ht="25.5" customHeight="1" x14ac:dyDescent="0.2">
      <c r="A1220" s="10">
        <v>11716</v>
      </c>
      <c r="B1220" s="11" t="s">
        <v>775</v>
      </c>
      <c r="C1220" s="139" t="s">
        <v>776</v>
      </c>
      <c r="D1220" s="140"/>
      <c r="E1220" s="11" t="s">
        <v>102</v>
      </c>
      <c r="F1220" s="12">
        <v>6</v>
      </c>
      <c r="G1220" s="12">
        <v>10.38</v>
      </c>
      <c r="H1220" s="12">
        <v>13.24</v>
      </c>
      <c r="I1220" s="13">
        <f>F1220*G1220</f>
        <v>62.28</v>
      </c>
      <c r="J1220" s="13">
        <f>F1220*H1220</f>
        <v>79.44</v>
      </c>
    </row>
    <row r="1221" spans="1:10" s="1" customFormat="1" ht="25.5" customHeight="1" x14ac:dyDescent="0.2">
      <c r="A1221" s="8"/>
      <c r="B1221" s="26">
        <v>44138</v>
      </c>
      <c r="C1221" s="137" t="s">
        <v>711</v>
      </c>
      <c r="D1221" s="138"/>
      <c r="E1221" s="8"/>
      <c r="F1221" s="8"/>
      <c r="G1221" s="8"/>
      <c r="H1221" s="8"/>
      <c r="I1221" s="8"/>
      <c r="J1221" s="8"/>
    </row>
    <row r="1222" spans="1:10" s="1" customFormat="1" ht="25.5" customHeight="1" x14ac:dyDescent="0.2">
      <c r="A1222" s="11" t="s">
        <v>308</v>
      </c>
      <c r="B1222" s="11" t="s">
        <v>777</v>
      </c>
      <c r="C1222" s="139" t="s">
        <v>778</v>
      </c>
      <c r="D1222" s="140"/>
      <c r="E1222" s="11" t="s">
        <v>102</v>
      </c>
      <c r="F1222" s="12">
        <v>13</v>
      </c>
      <c r="G1222" s="12">
        <v>24.15</v>
      </c>
      <c r="H1222" s="12">
        <v>30.81</v>
      </c>
      <c r="I1222" s="13">
        <f t="shared" ref="I1222:I1232" si="100">F1222*G1222</f>
        <v>313.95</v>
      </c>
      <c r="J1222" s="13">
        <f t="shared" ref="J1222:J1232" si="101">F1222*H1222</f>
        <v>400.53</v>
      </c>
    </row>
    <row r="1223" spans="1:10" s="1" customFormat="1" ht="25.5" customHeight="1" x14ac:dyDescent="0.2">
      <c r="A1223" s="11" t="s">
        <v>308</v>
      </c>
      <c r="B1223" s="11" t="s">
        <v>779</v>
      </c>
      <c r="C1223" s="139" t="s">
        <v>780</v>
      </c>
      <c r="D1223" s="140"/>
      <c r="E1223" s="11" t="s">
        <v>102</v>
      </c>
      <c r="F1223" s="12">
        <v>2</v>
      </c>
      <c r="G1223" s="12">
        <v>11.66</v>
      </c>
      <c r="H1223" s="12">
        <v>14.88</v>
      </c>
      <c r="I1223" s="13">
        <f t="shared" si="100"/>
        <v>23.32</v>
      </c>
      <c r="J1223" s="13">
        <f t="shared" si="101"/>
        <v>29.76</v>
      </c>
    </row>
    <row r="1224" spans="1:10" s="1" customFormat="1" ht="25.5" customHeight="1" x14ac:dyDescent="0.2">
      <c r="A1224" s="11" t="s">
        <v>308</v>
      </c>
      <c r="B1224" s="11" t="s">
        <v>781</v>
      </c>
      <c r="C1224" s="139" t="s">
        <v>782</v>
      </c>
      <c r="D1224" s="140"/>
      <c r="E1224" s="11" t="s">
        <v>102</v>
      </c>
      <c r="F1224" s="12">
        <v>5</v>
      </c>
      <c r="G1224" s="12">
        <v>16.05</v>
      </c>
      <c r="H1224" s="12">
        <v>20.48</v>
      </c>
      <c r="I1224" s="13">
        <f t="shared" si="100"/>
        <v>80.25</v>
      </c>
      <c r="J1224" s="13">
        <f t="shared" si="101"/>
        <v>102.4</v>
      </c>
    </row>
    <row r="1225" spans="1:10" s="1" customFormat="1" ht="25.5" customHeight="1" x14ac:dyDescent="0.2">
      <c r="A1225" s="11" t="s">
        <v>308</v>
      </c>
      <c r="B1225" s="11" t="s">
        <v>783</v>
      </c>
      <c r="C1225" s="139" t="s">
        <v>784</v>
      </c>
      <c r="D1225" s="140"/>
      <c r="E1225" s="11" t="s">
        <v>102</v>
      </c>
      <c r="F1225" s="12">
        <v>4</v>
      </c>
      <c r="G1225" s="12">
        <v>9.69</v>
      </c>
      <c r="H1225" s="12">
        <v>12.36</v>
      </c>
      <c r="I1225" s="13">
        <f t="shared" si="100"/>
        <v>38.76</v>
      </c>
      <c r="J1225" s="13">
        <f t="shared" si="101"/>
        <v>49.44</v>
      </c>
    </row>
    <row r="1226" spans="1:10" s="1" customFormat="1" ht="25.5" customHeight="1" x14ac:dyDescent="0.2">
      <c r="A1226" s="11" t="s">
        <v>308</v>
      </c>
      <c r="B1226" s="11" t="s">
        <v>785</v>
      </c>
      <c r="C1226" s="139" t="s">
        <v>786</v>
      </c>
      <c r="D1226" s="140"/>
      <c r="E1226" s="11" t="s">
        <v>102</v>
      </c>
      <c r="F1226" s="12">
        <v>8</v>
      </c>
      <c r="G1226" s="12">
        <v>128.66</v>
      </c>
      <c r="H1226" s="12">
        <v>164.16</v>
      </c>
      <c r="I1226" s="13">
        <f t="shared" si="100"/>
        <v>1029.28</v>
      </c>
      <c r="J1226" s="13">
        <f t="shared" si="101"/>
        <v>1313.28</v>
      </c>
    </row>
    <row r="1227" spans="1:10" s="1" customFormat="1" ht="25.5" customHeight="1" x14ac:dyDescent="0.2">
      <c r="A1227" s="11" t="s">
        <v>308</v>
      </c>
      <c r="B1227" s="11" t="s">
        <v>787</v>
      </c>
      <c r="C1227" s="139" t="s">
        <v>788</v>
      </c>
      <c r="D1227" s="140"/>
      <c r="E1227" s="11" t="s">
        <v>102</v>
      </c>
      <c r="F1227" s="12">
        <v>40</v>
      </c>
      <c r="G1227" s="12">
        <v>61.54</v>
      </c>
      <c r="H1227" s="12">
        <v>78.52</v>
      </c>
      <c r="I1227" s="13">
        <f t="shared" si="100"/>
        <v>2461.6</v>
      </c>
      <c r="J1227" s="13">
        <f t="shared" si="101"/>
        <v>3140.7999999999997</v>
      </c>
    </row>
    <row r="1228" spans="1:10" s="1" customFormat="1" ht="25.5" customHeight="1" x14ac:dyDescent="0.2">
      <c r="A1228" s="11" t="s">
        <v>308</v>
      </c>
      <c r="B1228" s="11" t="s">
        <v>789</v>
      </c>
      <c r="C1228" s="139" t="s">
        <v>790</v>
      </c>
      <c r="D1228" s="140"/>
      <c r="E1228" s="11" t="s">
        <v>102</v>
      </c>
      <c r="F1228" s="12">
        <v>1</v>
      </c>
      <c r="G1228" s="12">
        <v>23.8</v>
      </c>
      <c r="H1228" s="12">
        <v>30.37</v>
      </c>
      <c r="I1228" s="13">
        <f t="shared" si="100"/>
        <v>23.8</v>
      </c>
      <c r="J1228" s="13">
        <f t="shared" si="101"/>
        <v>30.37</v>
      </c>
    </row>
    <row r="1229" spans="1:10" s="1" customFormat="1" ht="25.5" customHeight="1" x14ac:dyDescent="0.2">
      <c r="A1229" s="11" t="s">
        <v>308</v>
      </c>
      <c r="B1229" s="11" t="s">
        <v>791</v>
      </c>
      <c r="C1229" s="139" t="s">
        <v>792</v>
      </c>
      <c r="D1229" s="140"/>
      <c r="E1229" s="11" t="s">
        <v>102</v>
      </c>
      <c r="F1229" s="12">
        <v>4</v>
      </c>
      <c r="G1229" s="12">
        <v>39.9</v>
      </c>
      <c r="H1229" s="12">
        <v>50.91</v>
      </c>
      <c r="I1229" s="13">
        <f t="shared" si="100"/>
        <v>159.6</v>
      </c>
      <c r="J1229" s="13">
        <f t="shared" si="101"/>
        <v>203.64</v>
      </c>
    </row>
    <row r="1230" spans="1:10" s="1" customFormat="1" ht="25.5" customHeight="1" x14ac:dyDescent="0.2">
      <c r="A1230" s="11" t="s">
        <v>308</v>
      </c>
      <c r="B1230" s="11" t="s">
        <v>793</v>
      </c>
      <c r="C1230" s="139" t="s">
        <v>794</v>
      </c>
      <c r="D1230" s="140"/>
      <c r="E1230" s="11" t="s">
        <v>102</v>
      </c>
      <c r="F1230" s="12">
        <v>4</v>
      </c>
      <c r="G1230" s="12">
        <v>12.92</v>
      </c>
      <c r="H1230" s="12">
        <v>16.48</v>
      </c>
      <c r="I1230" s="13">
        <f t="shared" si="100"/>
        <v>51.68</v>
      </c>
      <c r="J1230" s="13">
        <f t="shared" si="101"/>
        <v>65.92</v>
      </c>
    </row>
    <row r="1231" spans="1:10" s="1" customFormat="1" ht="25.5" customHeight="1" x14ac:dyDescent="0.2">
      <c r="A1231" s="11" t="s">
        <v>308</v>
      </c>
      <c r="B1231" s="11" t="s">
        <v>795</v>
      </c>
      <c r="C1231" s="139" t="s">
        <v>796</v>
      </c>
      <c r="D1231" s="140"/>
      <c r="E1231" s="11" t="s">
        <v>102</v>
      </c>
      <c r="F1231" s="12">
        <v>18</v>
      </c>
      <c r="G1231" s="12">
        <v>3.73</v>
      </c>
      <c r="H1231" s="12">
        <v>4.76</v>
      </c>
      <c r="I1231" s="13">
        <f t="shared" si="100"/>
        <v>67.14</v>
      </c>
      <c r="J1231" s="13">
        <f t="shared" si="101"/>
        <v>85.679999999999993</v>
      </c>
    </row>
    <row r="1232" spans="1:10" s="1" customFormat="1" ht="25.5" customHeight="1" x14ac:dyDescent="0.2">
      <c r="A1232" s="11" t="s">
        <v>308</v>
      </c>
      <c r="B1232" s="11" t="s">
        <v>797</v>
      </c>
      <c r="C1232" s="139" t="s">
        <v>798</v>
      </c>
      <c r="D1232" s="140"/>
      <c r="E1232" s="11" t="s">
        <v>102</v>
      </c>
      <c r="F1232" s="12">
        <v>6</v>
      </c>
      <c r="G1232" s="12">
        <v>3.01</v>
      </c>
      <c r="H1232" s="12">
        <v>3.84</v>
      </c>
      <c r="I1232" s="13">
        <f t="shared" si="100"/>
        <v>18.059999999999999</v>
      </c>
      <c r="J1232" s="13">
        <f t="shared" si="101"/>
        <v>23.04</v>
      </c>
    </row>
    <row r="1233" spans="1:11" s="1" customFormat="1" ht="25.5" customHeight="1" x14ac:dyDescent="0.2">
      <c r="A1233" s="8"/>
      <c r="B1233" s="26">
        <v>44139</v>
      </c>
      <c r="C1233" s="137" t="s">
        <v>799</v>
      </c>
      <c r="D1233" s="138"/>
      <c r="E1233" s="8"/>
      <c r="F1233" s="8"/>
      <c r="G1233" s="8"/>
      <c r="H1233" s="8"/>
      <c r="I1233" s="8"/>
      <c r="J1233" s="8"/>
    </row>
    <row r="1234" spans="1:11" s="1" customFormat="1" ht="25.5" customHeight="1" x14ac:dyDescent="0.2">
      <c r="A1234" s="10">
        <v>98108</v>
      </c>
      <c r="B1234" s="11" t="s">
        <v>800</v>
      </c>
      <c r="C1234" s="139" t="s">
        <v>801</v>
      </c>
      <c r="D1234" s="140"/>
      <c r="E1234" s="11" t="s">
        <v>102</v>
      </c>
      <c r="F1234" s="12">
        <v>1</v>
      </c>
      <c r="G1234" s="12">
        <v>347.61</v>
      </c>
      <c r="H1234" s="12">
        <v>443.52</v>
      </c>
      <c r="I1234" s="13">
        <f>F1234*G1234</f>
        <v>347.61</v>
      </c>
      <c r="J1234" s="13">
        <f>F1234*H1234</f>
        <v>443.52</v>
      </c>
    </row>
    <row r="1235" spans="1:11" s="1" customFormat="1" ht="25.5" customHeight="1" x14ac:dyDescent="0.2">
      <c r="A1235" s="10">
        <v>98106</v>
      </c>
      <c r="B1235" s="11" t="s">
        <v>802</v>
      </c>
      <c r="C1235" s="139" t="s">
        <v>803</v>
      </c>
      <c r="D1235" s="140"/>
      <c r="E1235" s="11" t="s">
        <v>102</v>
      </c>
      <c r="F1235" s="12">
        <v>1</v>
      </c>
      <c r="G1235" s="12">
        <v>786.65</v>
      </c>
      <c r="H1235" s="13">
        <v>1003.69</v>
      </c>
      <c r="I1235" s="13">
        <f>F1235*G1235</f>
        <v>786.65</v>
      </c>
      <c r="J1235" s="13">
        <f>F1235*H1235</f>
        <v>1003.69</v>
      </c>
    </row>
    <row r="1236" spans="1:11" s="1" customFormat="1" ht="25.5" customHeight="1" x14ac:dyDescent="0.2">
      <c r="A1236" s="11" t="s">
        <v>308</v>
      </c>
      <c r="B1236" s="11" t="s">
        <v>804</v>
      </c>
      <c r="C1236" s="139" t="s">
        <v>805</v>
      </c>
      <c r="D1236" s="140"/>
      <c r="E1236" s="11" t="s">
        <v>102</v>
      </c>
      <c r="F1236" s="12">
        <v>2</v>
      </c>
      <c r="G1236" s="12">
        <v>205.99</v>
      </c>
      <c r="H1236" s="12">
        <v>262.82</v>
      </c>
      <c r="I1236" s="13">
        <f>F1236*G1236</f>
        <v>411.98</v>
      </c>
      <c r="J1236" s="13">
        <f>F1236*H1236</f>
        <v>525.64</v>
      </c>
    </row>
    <row r="1237" spans="1:11" s="1" customFormat="1" ht="25.5" customHeight="1" x14ac:dyDescent="0.2">
      <c r="A1237" s="8"/>
      <c r="B1237" s="26">
        <v>44140</v>
      </c>
      <c r="C1237" s="137" t="s">
        <v>806</v>
      </c>
      <c r="D1237" s="138"/>
      <c r="E1237" s="8"/>
      <c r="F1237" s="8"/>
      <c r="G1237" s="8"/>
      <c r="H1237" s="8"/>
      <c r="I1237" s="8"/>
      <c r="J1237" s="8"/>
    </row>
    <row r="1238" spans="1:11" s="1" customFormat="1" ht="25.5" customHeight="1" x14ac:dyDescent="0.2">
      <c r="A1238" s="10">
        <v>39320</v>
      </c>
      <c r="B1238" s="11" t="s">
        <v>807</v>
      </c>
      <c r="C1238" s="139" t="s">
        <v>808</v>
      </c>
      <c r="D1238" s="140"/>
      <c r="E1238" s="11" t="s">
        <v>102</v>
      </c>
      <c r="F1238" s="12">
        <v>9</v>
      </c>
      <c r="G1238" s="12">
        <v>5.18</v>
      </c>
      <c r="H1238" s="12">
        <v>6.61</v>
      </c>
      <c r="I1238" s="13">
        <f>F1238*G1238</f>
        <v>46.62</v>
      </c>
      <c r="J1238" s="13">
        <f>F1238*H1238</f>
        <v>59.49</v>
      </c>
    </row>
    <row r="1239" spans="1:11" s="1" customFormat="1" ht="25.5" customHeight="1" x14ac:dyDescent="0.2">
      <c r="A1239" s="10">
        <v>39319</v>
      </c>
      <c r="B1239" s="11" t="s">
        <v>809</v>
      </c>
      <c r="C1239" s="139" t="s">
        <v>810</v>
      </c>
      <c r="D1239" s="140"/>
      <c r="E1239" s="11" t="s">
        <v>102</v>
      </c>
      <c r="F1239" s="12">
        <v>6</v>
      </c>
      <c r="G1239" s="12">
        <v>4.34</v>
      </c>
      <c r="H1239" s="12">
        <v>5.54</v>
      </c>
      <c r="I1239" s="13">
        <f>F1239*G1239</f>
        <v>26.04</v>
      </c>
      <c r="J1239" s="13">
        <f>F1239*H1239</f>
        <v>33.24</v>
      </c>
    </row>
    <row r="1240" spans="1:11" s="1" customFormat="1" ht="25.5" customHeight="1" x14ac:dyDescent="0.2">
      <c r="A1240" s="8"/>
      <c r="B1240" s="26">
        <v>44141</v>
      </c>
      <c r="C1240" s="137" t="s">
        <v>811</v>
      </c>
      <c r="D1240" s="138"/>
      <c r="E1240" s="8"/>
      <c r="F1240" s="8"/>
      <c r="G1240" s="8"/>
      <c r="H1240" s="8"/>
      <c r="I1240" s="8"/>
      <c r="J1240" s="8"/>
    </row>
    <row r="1241" spans="1:11" s="1" customFormat="1" ht="25.5" customHeight="1" x14ac:dyDescent="0.2">
      <c r="A1241" s="11" t="s">
        <v>78</v>
      </c>
      <c r="B1241" s="11" t="s">
        <v>812</v>
      </c>
      <c r="C1241" s="139" t="s">
        <v>813</v>
      </c>
      <c r="D1241" s="140"/>
      <c r="E1241" s="11" t="s">
        <v>102</v>
      </c>
      <c r="F1241" s="12">
        <v>11</v>
      </c>
      <c r="G1241" s="12">
        <v>376.56</v>
      </c>
      <c r="H1241" s="12">
        <v>480.45</v>
      </c>
      <c r="I1241" s="13">
        <f>F1241*G1241</f>
        <v>4142.16</v>
      </c>
      <c r="J1241" s="13">
        <f>F1241*H1241</f>
        <v>5284.95</v>
      </c>
    </row>
    <row r="1242" spans="1:11" s="1" customFormat="1" ht="25.5" customHeight="1" x14ac:dyDescent="0.2">
      <c r="A1242" s="11" t="s">
        <v>308</v>
      </c>
      <c r="B1242" s="11" t="s">
        <v>814</v>
      </c>
      <c r="C1242" s="139" t="s">
        <v>815</v>
      </c>
      <c r="D1242" s="140"/>
      <c r="E1242" s="11" t="s">
        <v>102</v>
      </c>
      <c r="F1242" s="12">
        <v>13</v>
      </c>
      <c r="G1242" s="12">
        <v>205.99</v>
      </c>
      <c r="H1242" s="12">
        <v>262.82</v>
      </c>
      <c r="I1242" s="13">
        <f>F1242*G1242</f>
        <v>2677.87</v>
      </c>
      <c r="J1242" s="13">
        <f>F1242*H1242</f>
        <v>3416.66</v>
      </c>
    </row>
    <row r="1243" spans="1:11" s="1" customFormat="1" ht="25.5" customHeight="1" x14ac:dyDescent="0.2">
      <c r="A1243" s="11" t="s">
        <v>78</v>
      </c>
      <c r="B1243" s="11" t="s">
        <v>816</v>
      </c>
      <c r="C1243" s="139" t="s">
        <v>817</v>
      </c>
      <c r="D1243" s="140"/>
      <c r="E1243" s="11" t="s">
        <v>102</v>
      </c>
      <c r="F1243" s="12">
        <v>2</v>
      </c>
      <c r="G1243" s="12">
        <v>472.96</v>
      </c>
      <c r="H1243" s="12">
        <v>603.45000000000005</v>
      </c>
      <c r="I1243" s="13">
        <f>F1243*G1243</f>
        <v>945.92</v>
      </c>
      <c r="J1243" s="13">
        <f>F1243*H1243</f>
        <v>1206.9000000000001</v>
      </c>
    </row>
    <row r="1244" spans="1:11" s="1" customFormat="1" ht="25.5" customHeight="1" x14ac:dyDescent="0.2">
      <c r="A1244" s="8"/>
      <c r="B1244" s="26">
        <v>44142</v>
      </c>
      <c r="C1244" s="137" t="s">
        <v>703</v>
      </c>
      <c r="D1244" s="138"/>
      <c r="E1244" s="8"/>
      <c r="F1244" s="8"/>
      <c r="G1244" s="8"/>
      <c r="H1244" s="8"/>
      <c r="I1244" s="8"/>
      <c r="J1244" s="8"/>
    </row>
    <row r="1245" spans="1:11" s="1" customFormat="1" ht="25.5" customHeight="1" x14ac:dyDescent="0.2">
      <c r="A1245" s="11" t="s">
        <v>818</v>
      </c>
      <c r="B1245" s="11" t="s">
        <v>819</v>
      </c>
      <c r="C1245" s="139" t="s">
        <v>820</v>
      </c>
      <c r="D1245" s="140"/>
      <c r="E1245" s="11" t="s">
        <v>102</v>
      </c>
      <c r="F1245" s="12">
        <v>1</v>
      </c>
      <c r="G1245" s="13">
        <v>3604.47</v>
      </c>
      <c r="H1245" s="13">
        <v>4598.9399999999996</v>
      </c>
      <c r="I1245" s="13">
        <f>F1245*G1245</f>
        <v>3604.47</v>
      </c>
      <c r="J1245" s="13">
        <f>F1245*H1245</f>
        <v>4598.9399999999996</v>
      </c>
    </row>
    <row r="1246" spans="1:11" s="1" customFormat="1" ht="25.5" customHeight="1" x14ac:dyDescent="0.2">
      <c r="A1246" s="11" t="s">
        <v>308</v>
      </c>
      <c r="B1246" s="11" t="s">
        <v>821</v>
      </c>
      <c r="C1246" s="139" t="s">
        <v>822</v>
      </c>
      <c r="D1246" s="140"/>
      <c r="E1246" s="11" t="s">
        <v>102</v>
      </c>
      <c r="F1246" s="12">
        <v>1</v>
      </c>
      <c r="G1246" s="12">
        <v>308.99</v>
      </c>
      <c r="H1246" s="12">
        <v>394.24</v>
      </c>
      <c r="I1246" s="13">
        <f>F1246*G1246</f>
        <v>308.99</v>
      </c>
      <c r="J1246" s="13">
        <f>F1246*H1246</f>
        <v>394.24</v>
      </c>
    </row>
    <row r="1247" spans="1:11" s="1" customFormat="1" ht="25.5" customHeight="1" x14ac:dyDescent="0.2">
      <c r="A1247" s="8"/>
      <c r="B1247" s="149" t="s">
        <v>823</v>
      </c>
      <c r="C1247" s="150"/>
      <c r="D1247" s="150"/>
      <c r="E1247" s="150"/>
      <c r="F1247" s="150"/>
      <c r="G1247" s="151"/>
      <c r="H1247" s="8"/>
      <c r="I1247" s="14">
        <f>SUM(I1175:I1246)</f>
        <v>41609.429999999993</v>
      </c>
      <c r="J1247" s="15">
        <f>SUM(J1175:J1246)-0.55</f>
        <v>53089.469999999987</v>
      </c>
      <c r="K1247" s="49"/>
    </row>
    <row r="1248" spans="1:11" s="1" customFormat="1" ht="25.5" customHeight="1" x14ac:dyDescent="0.2">
      <c r="A1248" s="8"/>
      <c r="B1248" s="46"/>
      <c r="C1248" s="153"/>
      <c r="D1248" s="154"/>
      <c r="E1248" s="8"/>
      <c r="F1248" s="8"/>
      <c r="G1248" s="8"/>
      <c r="H1248" s="8"/>
      <c r="I1248" s="8"/>
      <c r="J1248" s="8"/>
    </row>
    <row r="1249" spans="1:10" s="1" customFormat="1" ht="25.5" customHeight="1" x14ac:dyDescent="0.2">
      <c r="A1249" s="8"/>
      <c r="B1249" s="9" t="s">
        <v>824</v>
      </c>
      <c r="C1249" s="137" t="s">
        <v>825</v>
      </c>
      <c r="D1249" s="138"/>
      <c r="E1249" s="8"/>
      <c r="F1249" s="8"/>
      <c r="G1249" s="8"/>
      <c r="H1249" s="8"/>
      <c r="I1249" s="8"/>
      <c r="J1249" s="8"/>
    </row>
    <row r="1250" spans="1:10" s="1" customFormat="1" ht="25.5" customHeight="1" x14ac:dyDescent="0.2">
      <c r="A1250" s="8"/>
      <c r="B1250" s="9" t="s">
        <v>826</v>
      </c>
      <c r="C1250" s="137" t="s">
        <v>827</v>
      </c>
      <c r="D1250" s="138"/>
      <c r="E1250" s="8"/>
      <c r="F1250" s="8"/>
      <c r="G1250" s="8"/>
      <c r="H1250" s="8"/>
      <c r="I1250" s="8"/>
      <c r="J1250" s="8"/>
    </row>
    <row r="1251" spans="1:10" s="1" customFormat="1" ht="25.5" customHeight="1" x14ac:dyDescent="0.2">
      <c r="A1251" s="10">
        <v>96985</v>
      </c>
      <c r="B1251" s="21">
        <v>44197</v>
      </c>
      <c r="C1251" s="155" t="s">
        <v>863</v>
      </c>
      <c r="D1251" s="156"/>
      <c r="E1251" s="11" t="s">
        <v>102</v>
      </c>
      <c r="F1251" s="12">
        <v>3</v>
      </c>
      <c r="G1251" s="12">
        <v>38.270000000000003</v>
      </c>
      <c r="H1251" s="12">
        <v>48.83</v>
      </c>
      <c r="I1251" s="13">
        <f>F1251*G1251</f>
        <v>114.81</v>
      </c>
      <c r="J1251" s="13">
        <f>F1251*H1251</f>
        <v>146.49</v>
      </c>
    </row>
    <row r="1252" spans="1:10" s="1" customFormat="1" ht="25.5" customHeight="1" x14ac:dyDescent="0.2">
      <c r="A1252" s="10">
        <v>98111</v>
      </c>
      <c r="B1252" s="21">
        <v>44198</v>
      </c>
      <c r="C1252" s="139" t="s">
        <v>828</v>
      </c>
      <c r="D1252" s="140"/>
      <c r="E1252" s="11" t="s">
        <v>102</v>
      </c>
      <c r="F1252" s="12">
        <v>1</v>
      </c>
      <c r="G1252" s="12">
        <v>17.170000000000002</v>
      </c>
      <c r="H1252" s="12">
        <v>21.91</v>
      </c>
      <c r="I1252" s="13">
        <f>F1252*G1252</f>
        <v>17.170000000000002</v>
      </c>
      <c r="J1252" s="13">
        <f>F1252*H1252</f>
        <v>21.91</v>
      </c>
    </row>
    <row r="1253" spans="1:10" s="1" customFormat="1" ht="25.5" customHeight="1" x14ac:dyDescent="0.2">
      <c r="A1253" s="10">
        <v>39862</v>
      </c>
      <c r="B1253" s="21">
        <v>44199</v>
      </c>
      <c r="C1253" s="139" t="s">
        <v>829</v>
      </c>
      <c r="D1253" s="140"/>
      <c r="E1253" s="11" t="s">
        <v>102</v>
      </c>
      <c r="F1253" s="12">
        <v>3</v>
      </c>
      <c r="G1253" s="12">
        <v>5.62</v>
      </c>
      <c r="H1253" s="12">
        <v>7.17</v>
      </c>
      <c r="I1253" s="13">
        <f>F1253*G1253</f>
        <v>16.86</v>
      </c>
      <c r="J1253" s="13">
        <f>F1253*H1253</f>
        <v>21.509999999999998</v>
      </c>
    </row>
    <row r="1254" spans="1:10" s="1" customFormat="1" ht="25.5" customHeight="1" x14ac:dyDescent="0.2">
      <c r="A1254" s="8"/>
      <c r="B1254" s="149" t="s">
        <v>830</v>
      </c>
      <c r="C1254" s="150"/>
      <c r="D1254" s="150"/>
      <c r="E1254" s="150"/>
      <c r="F1254" s="150"/>
      <c r="G1254" s="151"/>
      <c r="H1254" s="8"/>
      <c r="I1254" s="28">
        <f>SUM(I1251:I1253)</f>
        <v>148.84000000000003</v>
      </c>
      <c r="J1254" s="28">
        <f>SUM(J1251:J1253)</f>
        <v>189.91</v>
      </c>
    </row>
    <row r="1255" spans="1:10" s="1" customFormat="1" ht="25.5" customHeight="1" x14ac:dyDescent="0.2">
      <c r="A1255" s="8"/>
      <c r="B1255" s="9" t="s">
        <v>831</v>
      </c>
      <c r="C1255" s="137" t="s">
        <v>832</v>
      </c>
      <c r="D1255" s="138"/>
      <c r="E1255" s="8"/>
      <c r="F1255" s="8"/>
      <c r="G1255" s="8"/>
      <c r="H1255" s="8"/>
      <c r="I1255" s="8"/>
      <c r="J1255" s="8"/>
    </row>
    <row r="1256" spans="1:10" s="1" customFormat="1" ht="25.5" customHeight="1" x14ac:dyDescent="0.2">
      <c r="A1256" s="10">
        <v>96974</v>
      </c>
      <c r="B1256" s="21">
        <v>44228</v>
      </c>
      <c r="C1256" s="139" t="s">
        <v>833</v>
      </c>
      <c r="D1256" s="140"/>
      <c r="E1256" s="11" t="s">
        <v>81</v>
      </c>
      <c r="F1256" s="12">
        <v>15</v>
      </c>
      <c r="G1256" s="12">
        <v>36.83</v>
      </c>
      <c r="H1256" s="12">
        <v>46.99</v>
      </c>
      <c r="I1256" s="13">
        <f>F1256*G1256</f>
        <v>552.44999999999993</v>
      </c>
      <c r="J1256" s="13">
        <f>F1256*H1256</f>
        <v>704.85</v>
      </c>
    </row>
    <row r="1257" spans="1:10" s="1" customFormat="1" ht="25.5" customHeight="1" x14ac:dyDescent="0.2">
      <c r="A1257" s="10">
        <v>96973</v>
      </c>
      <c r="B1257" s="21">
        <v>44229</v>
      </c>
      <c r="C1257" s="139" t="s">
        <v>834</v>
      </c>
      <c r="D1257" s="140"/>
      <c r="E1257" s="11" t="s">
        <v>81</v>
      </c>
      <c r="F1257" s="12">
        <v>8</v>
      </c>
      <c r="G1257" s="12">
        <v>29.32</v>
      </c>
      <c r="H1257" s="12">
        <v>37.409999999999997</v>
      </c>
      <c r="I1257" s="13">
        <f>F1257*G1257</f>
        <v>234.56</v>
      </c>
      <c r="J1257" s="13">
        <f>F1257*H1257</f>
        <v>299.27999999999997</v>
      </c>
    </row>
    <row r="1258" spans="1:10" s="1" customFormat="1" ht="25.5" customHeight="1" x14ac:dyDescent="0.2">
      <c r="A1258" s="8"/>
      <c r="B1258" s="149" t="s">
        <v>835</v>
      </c>
      <c r="C1258" s="150"/>
      <c r="D1258" s="150"/>
      <c r="E1258" s="150"/>
      <c r="F1258" s="150"/>
      <c r="G1258" s="151"/>
      <c r="H1258" s="8"/>
      <c r="I1258" s="28">
        <f>SUM(I1255:I1257)</f>
        <v>787.01</v>
      </c>
      <c r="J1258" s="28">
        <f>SUM(J1255:J1257)</f>
        <v>1004.13</v>
      </c>
    </row>
    <row r="1259" spans="1:10" s="1" customFormat="1" ht="25.5" customHeight="1" x14ac:dyDescent="0.2">
      <c r="A1259" s="8"/>
      <c r="B1259" s="9" t="s">
        <v>836</v>
      </c>
      <c r="C1259" s="137" t="s">
        <v>837</v>
      </c>
      <c r="D1259" s="138"/>
      <c r="E1259" s="8"/>
      <c r="F1259" s="8"/>
      <c r="G1259" s="8"/>
      <c r="H1259" s="8"/>
      <c r="I1259" s="8"/>
      <c r="J1259" s="8"/>
    </row>
    <row r="1260" spans="1:10" s="1" customFormat="1" ht="25.5" customHeight="1" x14ac:dyDescent="0.2">
      <c r="A1260" s="2" t="s">
        <v>838</v>
      </c>
      <c r="B1260" s="21">
        <v>44256</v>
      </c>
      <c r="C1260" s="139" t="s">
        <v>839</v>
      </c>
      <c r="D1260" s="140"/>
      <c r="E1260" s="11" t="s">
        <v>102</v>
      </c>
      <c r="F1260" s="12">
        <v>1</v>
      </c>
      <c r="G1260" s="13">
        <v>1679.04</v>
      </c>
      <c r="H1260" s="13">
        <v>2142.29</v>
      </c>
      <c r="I1260" s="13">
        <f t="shared" ref="I1260:I1265" si="102">F1260*G1260</f>
        <v>1679.04</v>
      </c>
      <c r="J1260" s="13">
        <f t="shared" ref="J1260:J1265" si="103">F1260*H1260</f>
        <v>2142.29</v>
      </c>
    </row>
    <row r="1261" spans="1:10" s="1" customFormat="1" ht="25.5" customHeight="1" x14ac:dyDescent="0.2">
      <c r="A1261" s="11" t="s">
        <v>840</v>
      </c>
      <c r="B1261" s="21">
        <v>44257</v>
      </c>
      <c r="C1261" s="139" t="s">
        <v>841</v>
      </c>
      <c r="D1261" s="140"/>
      <c r="E1261" s="11" t="s">
        <v>102</v>
      </c>
      <c r="F1261" s="12">
        <v>1</v>
      </c>
      <c r="G1261" s="12">
        <v>214.05</v>
      </c>
      <c r="H1261" s="12">
        <v>273.10000000000002</v>
      </c>
      <c r="I1261" s="13">
        <f t="shared" si="102"/>
        <v>214.05</v>
      </c>
      <c r="J1261" s="13">
        <f t="shared" si="103"/>
        <v>273.10000000000002</v>
      </c>
    </row>
    <row r="1262" spans="1:10" s="1" customFormat="1" ht="25.5" customHeight="1" x14ac:dyDescent="0.2">
      <c r="A1262" s="11" t="s">
        <v>842</v>
      </c>
      <c r="B1262" s="21">
        <v>44258</v>
      </c>
      <c r="C1262" s="139" t="s">
        <v>843</v>
      </c>
      <c r="D1262" s="140"/>
      <c r="E1262" s="11" t="s">
        <v>102</v>
      </c>
      <c r="F1262" s="12">
        <v>2</v>
      </c>
      <c r="G1262" s="12">
        <v>320</v>
      </c>
      <c r="H1262" s="12">
        <v>408.28</v>
      </c>
      <c r="I1262" s="13">
        <f t="shared" si="102"/>
        <v>640</v>
      </c>
      <c r="J1262" s="13">
        <f t="shared" si="103"/>
        <v>816.56</v>
      </c>
    </row>
    <row r="1263" spans="1:10" s="1" customFormat="1" ht="25.5" customHeight="1" x14ac:dyDescent="0.2">
      <c r="A1263" s="11" t="s">
        <v>842</v>
      </c>
      <c r="B1263" s="21">
        <v>44259</v>
      </c>
      <c r="C1263" s="139" t="s">
        <v>844</v>
      </c>
      <c r="D1263" s="140"/>
      <c r="E1263" s="11" t="s">
        <v>102</v>
      </c>
      <c r="F1263" s="12">
        <v>1</v>
      </c>
      <c r="G1263" s="12">
        <v>320</v>
      </c>
      <c r="H1263" s="12">
        <v>408.28</v>
      </c>
      <c r="I1263" s="13">
        <f t="shared" si="102"/>
        <v>320</v>
      </c>
      <c r="J1263" s="13">
        <f t="shared" si="103"/>
        <v>408.28</v>
      </c>
    </row>
    <row r="1264" spans="1:10" s="1" customFormat="1" ht="25.5" customHeight="1" x14ac:dyDescent="0.2">
      <c r="A1264" s="11" t="s">
        <v>842</v>
      </c>
      <c r="B1264" s="21">
        <v>44260</v>
      </c>
      <c r="C1264" s="139" t="s">
        <v>845</v>
      </c>
      <c r="D1264" s="140"/>
      <c r="E1264" s="11" t="s">
        <v>102</v>
      </c>
      <c r="F1264" s="12">
        <v>1</v>
      </c>
      <c r="G1264" s="12">
        <v>320</v>
      </c>
      <c r="H1264" s="12">
        <v>408.28</v>
      </c>
      <c r="I1264" s="13">
        <f t="shared" si="102"/>
        <v>320</v>
      </c>
      <c r="J1264" s="13">
        <f t="shared" si="103"/>
        <v>408.28</v>
      </c>
    </row>
    <row r="1265" spans="1:10" s="1" customFormat="1" ht="25.5" customHeight="1" x14ac:dyDescent="0.2">
      <c r="A1265" s="11" t="s">
        <v>308</v>
      </c>
      <c r="B1265" s="21">
        <v>44261</v>
      </c>
      <c r="C1265" s="139" t="s">
        <v>846</v>
      </c>
      <c r="D1265" s="140"/>
      <c r="E1265" s="11" t="s">
        <v>102</v>
      </c>
      <c r="F1265" s="12">
        <v>1</v>
      </c>
      <c r="G1265" s="12">
        <v>282.57</v>
      </c>
      <c r="H1265" s="12">
        <v>360.53</v>
      </c>
      <c r="I1265" s="13">
        <f t="shared" si="102"/>
        <v>282.57</v>
      </c>
      <c r="J1265" s="13">
        <f t="shared" si="103"/>
        <v>360.53</v>
      </c>
    </row>
    <row r="1266" spans="1:10" s="1" customFormat="1" ht="25.5" customHeight="1" x14ac:dyDescent="0.2">
      <c r="A1266" s="8"/>
      <c r="B1266" s="149" t="s">
        <v>847</v>
      </c>
      <c r="C1266" s="150"/>
      <c r="D1266" s="150"/>
      <c r="E1266" s="150"/>
      <c r="F1266" s="150"/>
      <c r="G1266" s="151"/>
      <c r="H1266" s="8"/>
      <c r="I1266" s="28">
        <f>SUM(I1260:I1265)</f>
        <v>3455.6600000000003</v>
      </c>
      <c r="J1266" s="28">
        <f>SUM(J1260:J1265)</f>
        <v>4409.0399999999991</v>
      </c>
    </row>
    <row r="1267" spans="1:10" s="1" customFormat="1" ht="25.5" customHeight="1" x14ac:dyDescent="0.2">
      <c r="A1267" s="8"/>
      <c r="B1267" s="9" t="s">
        <v>848</v>
      </c>
      <c r="C1267" s="137" t="s">
        <v>849</v>
      </c>
      <c r="D1267" s="138"/>
      <c r="E1267" s="8"/>
      <c r="F1267" s="8"/>
      <c r="G1267" s="8"/>
      <c r="H1267" s="8"/>
      <c r="I1267" s="8"/>
      <c r="J1267" s="8"/>
    </row>
    <row r="1268" spans="1:10" s="1" customFormat="1" ht="25.5" customHeight="1" x14ac:dyDescent="0.2">
      <c r="A1268" s="11" t="s">
        <v>842</v>
      </c>
      <c r="B1268" s="21">
        <v>44287</v>
      </c>
      <c r="C1268" s="139" t="s">
        <v>850</v>
      </c>
      <c r="D1268" s="140"/>
      <c r="E1268" s="11" t="s">
        <v>102</v>
      </c>
      <c r="F1268" s="12">
        <v>2</v>
      </c>
      <c r="G1268" s="12">
        <v>320</v>
      </c>
      <c r="H1268" s="12">
        <v>408.28</v>
      </c>
      <c r="I1268" s="13">
        <f>F1268*G1268</f>
        <v>640</v>
      </c>
      <c r="J1268" s="13">
        <f>F1268*H1268</f>
        <v>816.56</v>
      </c>
    </row>
    <row r="1269" spans="1:10" s="1" customFormat="1" ht="25.5" customHeight="1" x14ac:dyDescent="0.2">
      <c r="A1269" s="11" t="s">
        <v>851</v>
      </c>
      <c r="B1269" s="21">
        <v>44288</v>
      </c>
      <c r="C1269" s="139" t="s">
        <v>852</v>
      </c>
      <c r="D1269" s="140"/>
      <c r="E1269" s="11" t="s">
        <v>102</v>
      </c>
      <c r="F1269" s="12">
        <v>1</v>
      </c>
      <c r="G1269" s="12">
        <v>950.49</v>
      </c>
      <c r="H1269" s="13">
        <v>1212.73</v>
      </c>
      <c r="I1269" s="13">
        <f>F1269*G1269</f>
        <v>950.49</v>
      </c>
      <c r="J1269" s="13">
        <f>F1269*H1269</f>
        <v>1212.73</v>
      </c>
    </row>
    <row r="1270" spans="1:10" s="1" customFormat="1" ht="25.5" customHeight="1" x14ac:dyDescent="0.2">
      <c r="A1270" s="31" t="s">
        <v>853</v>
      </c>
      <c r="B1270" s="30">
        <v>44289</v>
      </c>
      <c r="C1270" s="155" t="s">
        <v>864</v>
      </c>
      <c r="D1270" s="156"/>
      <c r="E1270" s="31" t="s">
        <v>102</v>
      </c>
      <c r="F1270" s="32">
        <v>1</v>
      </c>
      <c r="G1270" s="33">
        <v>1309.99</v>
      </c>
      <c r="H1270" s="33">
        <v>1671.41</v>
      </c>
      <c r="I1270" s="13">
        <f>F1270*G1270</f>
        <v>1309.99</v>
      </c>
      <c r="J1270" s="13">
        <f>F1270*H1270</f>
        <v>1671.41</v>
      </c>
    </row>
    <row r="1271" spans="1:10" s="1" customFormat="1" ht="25.5" customHeight="1" x14ac:dyDescent="0.2">
      <c r="A1271" s="8"/>
      <c r="B1271" s="149" t="s">
        <v>854</v>
      </c>
      <c r="C1271" s="150"/>
      <c r="D1271" s="150"/>
      <c r="E1271" s="150"/>
      <c r="F1271" s="150"/>
      <c r="G1271" s="151"/>
      <c r="H1271" s="8"/>
      <c r="I1271" s="18">
        <f>SUM(I1268:I1270)</f>
        <v>2900.48</v>
      </c>
      <c r="J1271" s="18">
        <f>SUM(J1268:J1270)</f>
        <v>3700.7</v>
      </c>
    </row>
    <row r="1272" spans="1:10" s="1" customFormat="1" ht="25.5" customHeight="1" x14ac:dyDescent="0.2">
      <c r="A1272" s="8"/>
      <c r="B1272" s="9" t="s">
        <v>855</v>
      </c>
      <c r="C1272" s="137" t="s">
        <v>856</v>
      </c>
      <c r="D1272" s="138"/>
      <c r="E1272" s="8"/>
      <c r="F1272" s="8"/>
      <c r="G1272" s="8"/>
      <c r="H1272" s="8"/>
      <c r="I1272" s="8"/>
      <c r="J1272" s="8"/>
    </row>
    <row r="1273" spans="1:10" s="1" customFormat="1" ht="25.5" customHeight="1" x14ac:dyDescent="0.2">
      <c r="A1273" s="10">
        <v>2504</v>
      </c>
      <c r="B1273" s="21">
        <v>44317</v>
      </c>
      <c r="C1273" s="139" t="s">
        <v>857</v>
      </c>
      <c r="D1273" s="140"/>
      <c r="E1273" s="11" t="s">
        <v>81</v>
      </c>
      <c r="F1273" s="12">
        <v>160</v>
      </c>
      <c r="G1273" s="12">
        <v>5.51</v>
      </c>
      <c r="H1273" s="12">
        <v>7.03</v>
      </c>
      <c r="I1273" s="13">
        <f t="shared" ref="I1273:I1284" si="104">F1273*G1273</f>
        <v>881.59999999999991</v>
      </c>
      <c r="J1273" s="13">
        <f t="shared" ref="J1273:J1284" si="105">F1273*H1273</f>
        <v>1124.8</v>
      </c>
    </row>
    <row r="1274" spans="1:10" s="1" customFormat="1" ht="25.5" customHeight="1" x14ac:dyDescent="0.2">
      <c r="A1274" s="10">
        <v>91844</v>
      </c>
      <c r="B1274" s="21">
        <v>44318</v>
      </c>
      <c r="C1274" s="139" t="s">
        <v>858</v>
      </c>
      <c r="D1274" s="140"/>
      <c r="E1274" s="11" t="s">
        <v>81</v>
      </c>
      <c r="F1274" s="13">
        <v>1250</v>
      </c>
      <c r="G1274" s="12">
        <v>4.1500000000000004</v>
      </c>
      <c r="H1274" s="12">
        <v>5.29</v>
      </c>
      <c r="I1274" s="13">
        <f t="shared" si="104"/>
        <v>5187.5</v>
      </c>
      <c r="J1274" s="13">
        <f t="shared" si="105"/>
        <v>6612.5</v>
      </c>
    </row>
    <row r="1275" spans="1:10" s="1" customFormat="1" ht="25.5" customHeight="1" x14ac:dyDescent="0.2">
      <c r="A1275" s="10">
        <v>91846</v>
      </c>
      <c r="B1275" s="21">
        <v>44319</v>
      </c>
      <c r="C1275" s="139" t="s">
        <v>859</v>
      </c>
      <c r="D1275" s="140"/>
      <c r="E1275" s="11" t="s">
        <v>81</v>
      </c>
      <c r="F1275" s="12">
        <v>200</v>
      </c>
      <c r="G1275" s="12">
        <v>5.77</v>
      </c>
      <c r="H1275" s="12">
        <v>7.36</v>
      </c>
      <c r="I1275" s="13">
        <f t="shared" si="104"/>
        <v>1154</v>
      </c>
      <c r="J1275" s="13">
        <f t="shared" si="105"/>
        <v>1472</v>
      </c>
    </row>
    <row r="1276" spans="1:10" s="1" customFormat="1" ht="25.5" customHeight="1" x14ac:dyDescent="0.2">
      <c r="A1276" s="11" t="s">
        <v>78</v>
      </c>
      <c r="B1276" s="21">
        <v>44320</v>
      </c>
      <c r="C1276" s="139" t="s">
        <v>860</v>
      </c>
      <c r="D1276" s="140"/>
      <c r="E1276" s="11" t="s">
        <v>102</v>
      </c>
      <c r="F1276" s="12">
        <v>25</v>
      </c>
      <c r="G1276" s="12">
        <v>44.63</v>
      </c>
      <c r="H1276" s="12">
        <v>56.94</v>
      </c>
      <c r="I1276" s="13">
        <f t="shared" si="104"/>
        <v>1115.75</v>
      </c>
      <c r="J1276" s="13">
        <f t="shared" si="105"/>
        <v>1423.5</v>
      </c>
    </row>
    <row r="1277" spans="1:10" s="1" customFormat="1" ht="25.5" customHeight="1" x14ac:dyDescent="0.2">
      <c r="A1277" s="10">
        <v>39246</v>
      </c>
      <c r="B1277" s="21">
        <v>44321</v>
      </c>
      <c r="C1277" s="139" t="s">
        <v>861</v>
      </c>
      <c r="D1277" s="140"/>
      <c r="E1277" s="11" t="s">
        <v>81</v>
      </c>
      <c r="F1277" s="12">
        <v>30</v>
      </c>
      <c r="G1277" s="12">
        <v>2.0299999999999998</v>
      </c>
      <c r="H1277" s="12">
        <v>2.6</v>
      </c>
      <c r="I1277" s="13">
        <f t="shared" si="104"/>
        <v>60.899999999999991</v>
      </c>
      <c r="J1277" s="13">
        <f t="shared" si="105"/>
        <v>78</v>
      </c>
    </row>
    <row r="1278" spans="1:10" s="1" customFormat="1" ht="25.5" customHeight="1" x14ac:dyDescent="0.2">
      <c r="A1278" s="10">
        <v>2446</v>
      </c>
      <c r="B1278" s="21">
        <v>44322</v>
      </c>
      <c r="C1278" s="139" t="s">
        <v>862</v>
      </c>
      <c r="D1278" s="140"/>
      <c r="E1278" s="11" t="s">
        <v>81</v>
      </c>
      <c r="F1278" s="12">
        <v>55</v>
      </c>
      <c r="G1278" s="12">
        <v>2.93</v>
      </c>
      <c r="H1278" s="12">
        <v>3.73</v>
      </c>
      <c r="I1278" s="13">
        <f t="shared" si="104"/>
        <v>161.15</v>
      </c>
      <c r="J1278" s="13">
        <f t="shared" si="105"/>
        <v>205.15</v>
      </c>
    </row>
    <row r="1279" spans="1:10" s="1" customFormat="1" ht="25.5" customHeight="1" x14ac:dyDescent="0.2">
      <c r="A1279" s="10">
        <v>2442</v>
      </c>
      <c r="B1279" s="21">
        <v>44323</v>
      </c>
      <c r="C1279" s="139" t="s">
        <v>865</v>
      </c>
      <c r="D1279" s="140"/>
      <c r="E1279" s="11" t="s">
        <v>81</v>
      </c>
      <c r="F1279" s="12">
        <v>60</v>
      </c>
      <c r="G1279" s="12">
        <v>4.0999999999999996</v>
      </c>
      <c r="H1279" s="12">
        <v>5.22</v>
      </c>
      <c r="I1279" s="13">
        <f t="shared" si="104"/>
        <v>245.99999999999997</v>
      </c>
      <c r="J1279" s="13">
        <f t="shared" si="105"/>
        <v>313.2</v>
      </c>
    </row>
    <row r="1280" spans="1:10" s="1" customFormat="1" ht="25.5" customHeight="1" x14ac:dyDescent="0.2">
      <c r="A1280" s="10">
        <v>39248</v>
      </c>
      <c r="B1280" s="21">
        <v>44324</v>
      </c>
      <c r="C1280" s="139" t="s">
        <v>866</v>
      </c>
      <c r="D1280" s="140"/>
      <c r="E1280" s="11" t="s">
        <v>81</v>
      </c>
      <c r="F1280" s="12">
        <v>60</v>
      </c>
      <c r="G1280" s="12">
        <v>5.71</v>
      </c>
      <c r="H1280" s="12">
        <v>7.28</v>
      </c>
      <c r="I1280" s="13">
        <f t="shared" si="104"/>
        <v>342.6</v>
      </c>
      <c r="J1280" s="13">
        <f t="shared" si="105"/>
        <v>436.8</v>
      </c>
    </row>
    <row r="1281" spans="1:10" s="1" customFormat="1" ht="25.5" customHeight="1" x14ac:dyDescent="0.2">
      <c r="A1281" s="11" t="s">
        <v>308</v>
      </c>
      <c r="B1281" s="21">
        <v>44325</v>
      </c>
      <c r="C1281" s="139" t="s">
        <v>867</v>
      </c>
      <c r="D1281" s="140"/>
      <c r="E1281" s="11" t="s">
        <v>81</v>
      </c>
      <c r="F1281" s="12">
        <v>200</v>
      </c>
      <c r="G1281" s="12">
        <v>9.8699999999999992</v>
      </c>
      <c r="H1281" s="12">
        <v>12.59</v>
      </c>
      <c r="I1281" s="13">
        <f t="shared" si="104"/>
        <v>1973.9999999999998</v>
      </c>
      <c r="J1281" s="13">
        <f t="shared" si="105"/>
        <v>2518</v>
      </c>
    </row>
    <row r="1282" spans="1:10" s="1" customFormat="1" ht="25.5" customHeight="1" x14ac:dyDescent="0.2">
      <c r="A1282" s="10">
        <v>39272</v>
      </c>
      <c r="B1282" s="34">
        <v>40319</v>
      </c>
      <c r="C1282" s="139" t="s">
        <v>868</v>
      </c>
      <c r="D1282" s="140"/>
      <c r="E1282" s="11" t="s">
        <v>102</v>
      </c>
      <c r="F1282" s="12">
        <v>180</v>
      </c>
      <c r="G1282" s="12">
        <v>1.47</v>
      </c>
      <c r="H1282" s="12">
        <v>1.87</v>
      </c>
      <c r="I1282" s="13">
        <f t="shared" si="104"/>
        <v>264.60000000000002</v>
      </c>
      <c r="J1282" s="13">
        <f t="shared" si="105"/>
        <v>336.6</v>
      </c>
    </row>
    <row r="1283" spans="1:10" s="1" customFormat="1" ht="25.5" customHeight="1" x14ac:dyDescent="0.2">
      <c r="A1283" s="11" t="s">
        <v>308</v>
      </c>
      <c r="B1283" s="34">
        <v>40684</v>
      </c>
      <c r="C1283" s="139" t="s">
        <v>869</v>
      </c>
      <c r="D1283" s="140"/>
      <c r="E1283" s="11" t="s">
        <v>102</v>
      </c>
      <c r="F1283" s="12">
        <v>800</v>
      </c>
      <c r="G1283" s="12">
        <v>1.1200000000000001</v>
      </c>
      <c r="H1283" s="12">
        <v>1.43</v>
      </c>
      <c r="I1283" s="13">
        <f t="shared" si="104"/>
        <v>896.00000000000011</v>
      </c>
      <c r="J1283" s="13">
        <f t="shared" si="105"/>
        <v>1144</v>
      </c>
    </row>
    <row r="1284" spans="1:10" s="1" customFormat="1" ht="25.5" customHeight="1" x14ac:dyDescent="0.2">
      <c r="A1284" s="11" t="s">
        <v>308</v>
      </c>
      <c r="B1284" s="34">
        <v>41050</v>
      </c>
      <c r="C1284" s="139" t="s">
        <v>870</v>
      </c>
      <c r="D1284" s="140"/>
      <c r="E1284" s="11" t="s">
        <v>102</v>
      </c>
      <c r="F1284" s="12">
        <v>120</v>
      </c>
      <c r="G1284" s="12">
        <v>2.2400000000000002</v>
      </c>
      <c r="H1284" s="12">
        <v>2.86</v>
      </c>
      <c r="I1284" s="13">
        <f t="shared" si="104"/>
        <v>268.8</v>
      </c>
      <c r="J1284" s="13">
        <f t="shared" si="105"/>
        <v>343.2</v>
      </c>
    </row>
    <row r="1285" spans="1:10" s="1" customFormat="1" ht="25.5" customHeight="1" x14ac:dyDescent="0.2">
      <c r="A1285" s="8"/>
      <c r="B1285" s="149" t="s">
        <v>871</v>
      </c>
      <c r="C1285" s="150"/>
      <c r="D1285" s="150"/>
      <c r="E1285" s="150"/>
      <c r="F1285" s="150"/>
      <c r="G1285" s="151"/>
      <c r="H1285" s="8"/>
      <c r="I1285" s="18">
        <f>SUM(I1273:I1284)</f>
        <v>12552.9</v>
      </c>
      <c r="J1285" s="18">
        <f>SUM(J1273:J1284)</f>
        <v>16007.75</v>
      </c>
    </row>
    <row r="1286" spans="1:10" s="1" customFormat="1" ht="25.5" customHeight="1" x14ac:dyDescent="0.2">
      <c r="A1286" s="8"/>
      <c r="B1286" s="9" t="s">
        <v>872</v>
      </c>
      <c r="C1286" s="137" t="s">
        <v>873</v>
      </c>
      <c r="D1286" s="138"/>
      <c r="E1286" s="8"/>
      <c r="F1286" s="8"/>
      <c r="G1286" s="8"/>
      <c r="H1286" s="8"/>
      <c r="I1286" s="8"/>
      <c r="J1286" s="8"/>
    </row>
    <row r="1287" spans="1:10" s="1" customFormat="1" ht="25.5" customHeight="1" x14ac:dyDescent="0.2">
      <c r="A1287" s="35"/>
      <c r="B1287" s="47"/>
      <c r="C1287" s="139" t="s">
        <v>874</v>
      </c>
      <c r="D1287" s="140"/>
      <c r="E1287" s="35"/>
      <c r="F1287" s="35"/>
      <c r="G1287" s="35"/>
      <c r="H1287" s="35"/>
      <c r="I1287" s="35"/>
      <c r="J1287" s="35"/>
    </row>
    <row r="1288" spans="1:10" s="1" customFormat="1" ht="25.5" customHeight="1" x14ac:dyDescent="0.2">
      <c r="A1288" s="36">
        <v>1014</v>
      </c>
      <c r="B1288" s="21">
        <v>44348</v>
      </c>
      <c r="C1288" s="139" t="s">
        <v>875</v>
      </c>
      <c r="D1288" s="140"/>
      <c r="E1288" s="11" t="s">
        <v>81</v>
      </c>
      <c r="F1288" s="13">
        <v>7200</v>
      </c>
      <c r="G1288" s="12">
        <v>1.03</v>
      </c>
      <c r="H1288" s="12">
        <v>1.31</v>
      </c>
      <c r="I1288" s="13">
        <f>F1288*G1288</f>
        <v>7416</v>
      </c>
      <c r="J1288" s="13">
        <f>F1288*H1288</f>
        <v>9432</v>
      </c>
    </row>
    <row r="1289" spans="1:10" s="1" customFormat="1" ht="25.5" customHeight="1" x14ac:dyDescent="0.2">
      <c r="A1289" s="36">
        <v>981</v>
      </c>
      <c r="B1289" s="21">
        <v>44349</v>
      </c>
      <c r="C1289" s="139" t="s">
        <v>876</v>
      </c>
      <c r="D1289" s="140"/>
      <c r="E1289" s="11" t="s">
        <v>81</v>
      </c>
      <c r="F1289" s="12">
        <v>750</v>
      </c>
      <c r="G1289" s="12">
        <v>1.84</v>
      </c>
      <c r="H1289" s="12">
        <v>2.35</v>
      </c>
      <c r="I1289" s="13">
        <f>F1289*G1289</f>
        <v>1380</v>
      </c>
      <c r="J1289" s="13">
        <f>F1289*H1289</f>
        <v>1762.5</v>
      </c>
    </row>
    <row r="1290" spans="1:10" s="1" customFormat="1" ht="25.5" customHeight="1" x14ac:dyDescent="0.2">
      <c r="A1290" s="36">
        <v>982</v>
      </c>
      <c r="B1290" s="21">
        <v>44350</v>
      </c>
      <c r="C1290" s="139" t="s">
        <v>877</v>
      </c>
      <c r="D1290" s="140"/>
      <c r="E1290" s="11" t="s">
        <v>81</v>
      </c>
      <c r="F1290" s="12">
        <v>300</v>
      </c>
      <c r="G1290" s="12">
        <v>2.57</v>
      </c>
      <c r="H1290" s="12">
        <v>3.28</v>
      </c>
      <c r="I1290" s="13">
        <f>F1290*G1290</f>
        <v>771</v>
      </c>
      <c r="J1290" s="13">
        <f>F1290*H1290</f>
        <v>983.99999999999989</v>
      </c>
    </row>
    <row r="1291" spans="1:10" s="1" customFormat="1" ht="25.5" customHeight="1" x14ac:dyDescent="0.2">
      <c r="A1291" s="35"/>
      <c r="B1291" s="47"/>
      <c r="C1291" s="139" t="s">
        <v>878</v>
      </c>
      <c r="D1291" s="140"/>
      <c r="E1291" s="35"/>
      <c r="F1291" s="35"/>
      <c r="G1291" s="35"/>
      <c r="H1291" s="35"/>
      <c r="I1291" s="35"/>
      <c r="J1291" s="35"/>
    </row>
    <row r="1292" spans="1:10" s="1" customFormat="1" ht="25.5" customHeight="1" x14ac:dyDescent="0.2">
      <c r="A1292" s="36">
        <v>994</v>
      </c>
      <c r="B1292" s="21">
        <v>44351</v>
      </c>
      <c r="C1292" s="139" t="s">
        <v>877</v>
      </c>
      <c r="D1292" s="140"/>
      <c r="E1292" s="11" t="s">
        <v>81</v>
      </c>
      <c r="F1292" s="12">
        <v>400</v>
      </c>
      <c r="G1292" s="12">
        <v>3</v>
      </c>
      <c r="H1292" s="12">
        <v>3.83</v>
      </c>
      <c r="I1292" s="13">
        <f t="shared" ref="I1292:I1297" si="106">F1292*G1292</f>
        <v>1200</v>
      </c>
      <c r="J1292" s="13">
        <f t="shared" ref="J1292:J1297" si="107">F1292*H1292</f>
        <v>1532</v>
      </c>
    </row>
    <row r="1293" spans="1:10" s="1" customFormat="1" ht="25.5" customHeight="1" x14ac:dyDescent="0.2">
      <c r="A1293" s="36">
        <v>1020</v>
      </c>
      <c r="B1293" s="21">
        <v>44352</v>
      </c>
      <c r="C1293" s="139" t="s">
        <v>879</v>
      </c>
      <c r="D1293" s="140"/>
      <c r="E1293" s="11" t="s">
        <v>81</v>
      </c>
      <c r="F1293" s="12">
        <v>100</v>
      </c>
      <c r="G1293" s="12">
        <v>4.8</v>
      </c>
      <c r="H1293" s="12">
        <v>6.12</v>
      </c>
      <c r="I1293" s="13">
        <f t="shared" si="106"/>
        <v>480</v>
      </c>
      <c r="J1293" s="13">
        <f t="shared" si="107"/>
        <v>612</v>
      </c>
    </row>
    <row r="1294" spans="1:10" s="1" customFormat="1" ht="25.5" customHeight="1" x14ac:dyDescent="0.2">
      <c r="A1294" s="36">
        <v>995</v>
      </c>
      <c r="B1294" s="21">
        <v>44353</v>
      </c>
      <c r="C1294" s="139" t="s">
        <v>880</v>
      </c>
      <c r="D1294" s="140"/>
      <c r="E1294" s="11" t="s">
        <v>81</v>
      </c>
      <c r="F1294" s="12">
        <v>500</v>
      </c>
      <c r="G1294" s="12">
        <v>7.37</v>
      </c>
      <c r="H1294" s="12">
        <v>9.4</v>
      </c>
      <c r="I1294" s="13">
        <f t="shared" si="106"/>
        <v>3685</v>
      </c>
      <c r="J1294" s="13">
        <f t="shared" si="107"/>
        <v>4700</v>
      </c>
    </row>
    <row r="1295" spans="1:10" s="1" customFormat="1" ht="25.5" customHeight="1" x14ac:dyDescent="0.2">
      <c r="A1295" s="36">
        <v>996</v>
      </c>
      <c r="B1295" s="21">
        <v>44354</v>
      </c>
      <c r="C1295" s="139" t="s">
        <v>881</v>
      </c>
      <c r="D1295" s="140"/>
      <c r="E1295" s="11" t="s">
        <v>81</v>
      </c>
      <c r="F1295" s="12">
        <v>25</v>
      </c>
      <c r="G1295" s="12">
        <v>11.21</v>
      </c>
      <c r="H1295" s="12">
        <v>14.3</v>
      </c>
      <c r="I1295" s="13">
        <f t="shared" si="106"/>
        <v>280.25</v>
      </c>
      <c r="J1295" s="13">
        <f t="shared" si="107"/>
        <v>357.5</v>
      </c>
    </row>
    <row r="1296" spans="1:10" s="1" customFormat="1" ht="25.5" customHeight="1" x14ac:dyDescent="0.2">
      <c r="A1296" s="36">
        <v>1019</v>
      </c>
      <c r="B1296" s="21">
        <v>44355</v>
      </c>
      <c r="C1296" s="139" t="s">
        <v>882</v>
      </c>
      <c r="D1296" s="140"/>
      <c r="E1296" s="11" t="s">
        <v>81</v>
      </c>
      <c r="F1296" s="12">
        <v>125</v>
      </c>
      <c r="G1296" s="12">
        <v>15.46</v>
      </c>
      <c r="H1296" s="12">
        <v>19.73</v>
      </c>
      <c r="I1296" s="13">
        <f t="shared" si="106"/>
        <v>1932.5</v>
      </c>
      <c r="J1296" s="13">
        <f t="shared" si="107"/>
        <v>2466.25</v>
      </c>
    </row>
    <row r="1297" spans="1:10" s="1" customFormat="1" ht="25.5" customHeight="1" x14ac:dyDescent="0.2">
      <c r="A1297" s="36">
        <v>1018</v>
      </c>
      <c r="B1297" s="21">
        <v>44356</v>
      </c>
      <c r="C1297" s="139" t="s">
        <v>883</v>
      </c>
      <c r="D1297" s="140"/>
      <c r="E1297" s="11" t="s">
        <v>81</v>
      </c>
      <c r="F1297" s="12">
        <v>130</v>
      </c>
      <c r="G1297" s="12">
        <v>22.04</v>
      </c>
      <c r="H1297" s="12">
        <v>28.12</v>
      </c>
      <c r="I1297" s="13">
        <f t="shared" si="106"/>
        <v>2865.2</v>
      </c>
      <c r="J1297" s="13">
        <f t="shared" si="107"/>
        <v>3655.6</v>
      </c>
    </row>
    <row r="1298" spans="1:10" s="1" customFormat="1" ht="25.5" customHeight="1" x14ac:dyDescent="0.2">
      <c r="A1298" s="35"/>
      <c r="B1298" s="47"/>
      <c r="C1298" s="139" t="s">
        <v>884</v>
      </c>
      <c r="D1298" s="140"/>
      <c r="E1298" s="35"/>
      <c r="F1298" s="35"/>
      <c r="G1298" s="35"/>
      <c r="H1298" s="35"/>
      <c r="I1298" s="35"/>
      <c r="J1298" s="35"/>
    </row>
    <row r="1299" spans="1:10" s="1" customFormat="1" ht="25.5" customHeight="1" x14ac:dyDescent="0.2">
      <c r="A1299" s="10">
        <v>39257</v>
      </c>
      <c r="B1299" s="34">
        <v>40350</v>
      </c>
      <c r="C1299" s="139" t="s">
        <v>885</v>
      </c>
      <c r="D1299" s="140"/>
      <c r="E1299" s="11" t="s">
        <v>81</v>
      </c>
      <c r="F1299" s="12">
        <v>50</v>
      </c>
      <c r="G1299" s="12">
        <v>2.81</v>
      </c>
      <c r="H1299" s="12">
        <v>3.59</v>
      </c>
      <c r="I1299" s="13">
        <f>F1299*G1299</f>
        <v>140.5</v>
      </c>
      <c r="J1299" s="13">
        <f>F1299*H1299</f>
        <v>179.5</v>
      </c>
    </row>
    <row r="1300" spans="1:10" s="1" customFormat="1" ht="25.5" customHeight="1" x14ac:dyDescent="0.2">
      <c r="A1300" s="10">
        <v>39258</v>
      </c>
      <c r="B1300" s="34">
        <v>40715</v>
      </c>
      <c r="C1300" s="139" t="s">
        <v>886</v>
      </c>
      <c r="D1300" s="140"/>
      <c r="E1300" s="11" t="s">
        <v>81</v>
      </c>
      <c r="F1300" s="12">
        <v>60</v>
      </c>
      <c r="G1300" s="12">
        <v>4.17</v>
      </c>
      <c r="H1300" s="12">
        <v>5.32</v>
      </c>
      <c r="I1300" s="13">
        <f>F1300*G1300</f>
        <v>250.2</v>
      </c>
      <c r="J1300" s="13">
        <f>F1300*H1300</f>
        <v>319.20000000000005</v>
      </c>
    </row>
    <row r="1301" spans="1:10" s="1" customFormat="1" ht="25.5" customHeight="1" x14ac:dyDescent="0.2">
      <c r="A1301" s="8"/>
      <c r="B1301" s="149" t="s">
        <v>887</v>
      </c>
      <c r="C1301" s="150"/>
      <c r="D1301" s="150"/>
      <c r="E1301" s="150"/>
      <c r="F1301" s="150"/>
      <c r="G1301" s="151"/>
      <c r="H1301" s="8"/>
      <c r="I1301" s="18">
        <f>SUM(I1288:I1300)</f>
        <v>20400.650000000001</v>
      </c>
      <c r="J1301" s="18">
        <f>SUM(J1288:J1300)</f>
        <v>26000.55</v>
      </c>
    </row>
    <row r="1302" spans="1:10" s="1" customFormat="1" ht="25.5" customHeight="1" x14ac:dyDescent="0.2">
      <c r="A1302" s="8"/>
      <c r="B1302" s="9" t="s">
        <v>888</v>
      </c>
      <c r="C1302" s="137" t="s">
        <v>889</v>
      </c>
      <c r="D1302" s="138"/>
      <c r="E1302" s="8"/>
      <c r="F1302" s="8"/>
      <c r="G1302" s="8"/>
      <c r="H1302" s="8"/>
      <c r="I1302" s="8"/>
      <c r="J1302" s="8"/>
    </row>
    <row r="1303" spans="1:10" s="1" customFormat="1" ht="25.5" customHeight="1" x14ac:dyDescent="0.2">
      <c r="A1303" s="10">
        <v>2574</v>
      </c>
      <c r="B1303" s="21">
        <v>44378</v>
      </c>
      <c r="C1303" s="139" t="s">
        <v>890</v>
      </c>
      <c r="D1303" s="140"/>
      <c r="E1303" s="11" t="s">
        <v>102</v>
      </c>
      <c r="F1303" s="12">
        <v>8</v>
      </c>
      <c r="G1303" s="12">
        <v>8.1999999999999993</v>
      </c>
      <c r="H1303" s="12">
        <v>10.46</v>
      </c>
      <c r="I1303" s="13">
        <f t="shared" ref="I1303:I1315" si="108">F1303*G1303</f>
        <v>65.599999999999994</v>
      </c>
      <c r="J1303" s="13">
        <f t="shared" ref="J1303:J1315" si="109">F1303*H1303</f>
        <v>83.68</v>
      </c>
    </row>
    <row r="1304" spans="1:10" s="1" customFormat="1" ht="25.5" customHeight="1" x14ac:dyDescent="0.2">
      <c r="A1304" s="10">
        <v>2559</v>
      </c>
      <c r="B1304" s="21">
        <v>44379</v>
      </c>
      <c r="C1304" s="139" t="s">
        <v>891</v>
      </c>
      <c r="D1304" s="140"/>
      <c r="E1304" s="11" t="s">
        <v>102</v>
      </c>
      <c r="F1304" s="12">
        <v>12</v>
      </c>
      <c r="G1304" s="12">
        <v>8.5</v>
      </c>
      <c r="H1304" s="12">
        <v>10.85</v>
      </c>
      <c r="I1304" s="13">
        <f t="shared" si="108"/>
        <v>102</v>
      </c>
      <c r="J1304" s="13">
        <f t="shared" si="109"/>
        <v>130.19999999999999</v>
      </c>
    </row>
    <row r="1305" spans="1:10" s="1" customFormat="1" ht="25.5" customHeight="1" x14ac:dyDescent="0.2">
      <c r="A1305" s="10">
        <v>2565</v>
      </c>
      <c r="B1305" s="21">
        <v>44380</v>
      </c>
      <c r="C1305" s="139" t="s">
        <v>892</v>
      </c>
      <c r="D1305" s="140"/>
      <c r="E1305" s="11" t="s">
        <v>102</v>
      </c>
      <c r="F1305" s="12">
        <v>14</v>
      </c>
      <c r="G1305" s="12">
        <v>6.88</v>
      </c>
      <c r="H1305" s="12">
        <v>8.7799999999999994</v>
      </c>
      <c r="I1305" s="13">
        <f t="shared" si="108"/>
        <v>96.32</v>
      </c>
      <c r="J1305" s="13">
        <f t="shared" si="109"/>
        <v>122.91999999999999</v>
      </c>
    </row>
    <row r="1306" spans="1:10" s="1" customFormat="1" ht="25.5" customHeight="1" x14ac:dyDescent="0.2">
      <c r="A1306" s="10">
        <v>2580</v>
      </c>
      <c r="B1306" s="21">
        <v>44381</v>
      </c>
      <c r="C1306" s="139" t="s">
        <v>893</v>
      </c>
      <c r="D1306" s="140"/>
      <c r="E1306" s="11" t="s">
        <v>102</v>
      </c>
      <c r="F1306" s="12">
        <v>3</v>
      </c>
      <c r="G1306" s="12">
        <v>10.83</v>
      </c>
      <c r="H1306" s="12">
        <v>13.82</v>
      </c>
      <c r="I1306" s="13">
        <f t="shared" si="108"/>
        <v>32.49</v>
      </c>
      <c r="J1306" s="13">
        <f t="shared" si="109"/>
        <v>41.46</v>
      </c>
    </row>
    <row r="1307" spans="1:10" s="1" customFormat="1" ht="25.5" customHeight="1" x14ac:dyDescent="0.2">
      <c r="A1307" s="10">
        <v>2593</v>
      </c>
      <c r="B1307" s="21">
        <v>44382</v>
      </c>
      <c r="C1307" s="139" t="s">
        <v>894</v>
      </c>
      <c r="D1307" s="140"/>
      <c r="E1307" s="11" t="s">
        <v>102</v>
      </c>
      <c r="F1307" s="12">
        <v>5</v>
      </c>
      <c r="G1307" s="12">
        <v>7.11</v>
      </c>
      <c r="H1307" s="12">
        <v>9.07</v>
      </c>
      <c r="I1307" s="13">
        <f t="shared" si="108"/>
        <v>35.550000000000004</v>
      </c>
      <c r="J1307" s="13">
        <f t="shared" si="109"/>
        <v>45.35</v>
      </c>
    </row>
    <row r="1308" spans="1:10" s="1" customFormat="1" ht="25.5" customHeight="1" x14ac:dyDescent="0.2">
      <c r="A1308" s="10">
        <v>39346</v>
      </c>
      <c r="B1308" s="21">
        <v>44383</v>
      </c>
      <c r="C1308" s="139" t="s">
        <v>895</v>
      </c>
      <c r="D1308" s="140"/>
      <c r="E1308" s="11" t="s">
        <v>102</v>
      </c>
      <c r="F1308" s="12">
        <v>8</v>
      </c>
      <c r="G1308" s="12">
        <v>2.09</v>
      </c>
      <c r="H1308" s="12">
        <v>2.67</v>
      </c>
      <c r="I1308" s="13">
        <f t="shared" si="108"/>
        <v>16.72</v>
      </c>
      <c r="J1308" s="13">
        <f t="shared" si="109"/>
        <v>21.36</v>
      </c>
    </row>
    <row r="1309" spans="1:10" s="1" customFormat="1" ht="25.5" customHeight="1" x14ac:dyDescent="0.2">
      <c r="A1309" s="10">
        <v>7543</v>
      </c>
      <c r="B1309" s="21">
        <v>44384</v>
      </c>
      <c r="C1309" s="139" t="s">
        <v>896</v>
      </c>
      <c r="D1309" s="140"/>
      <c r="E1309" s="11" t="s">
        <v>102</v>
      </c>
      <c r="F1309" s="12">
        <v>14</v>
      </c>
      <c r="G1309" s="12">
        <v>3.39</v>
      </c>
      <c r="H1309" s="12">
        <v>4.33</v>
      </c>
      <c r="I1309" s="13">
        <f t="shared" si="108"/>
        <v>47.46</v>
      </c>
      <c r="J1309" s="13">
        <f t="shared" si="109"/>
        <v>60.620000000000005</v>
      </c>
    </row>
    <row r="1310" spans="1:10" s="1" customFormat="1" ht="25.5" customHeight="1" x14ac:dyDescent="0.2">
      <c r="A1310" s="10">
        <v>39351</v>
      </c>
      <c r="B1310" s="21">
        <v>44385</v>
      </c>
      <c r="C1310" s="139" t="s">
        <v>897</v>
      </c>
      <c r="D1310" s="140"/>
      <c r="E1310" s="11" t="s">
        <v>102</v>
      </c>
      <c r="F1310" s="12">
        <v>20</v>
      </c>
      <c r="G1310" s="12">
        <v>2.6</v>
      </c>
      <c r="H1310" s="12">
        <v>3.32</v>
      </c>
      <c r="I1310" s="13">
        <f t="shared" si="108"/>
        <v>52</v>
      </c>
      <c r="J1310" s="13">
        <f t="shared" si="109"/>
        <v>66.399999999999991</v>
      </c>
    </row>
    <row r="1311" spans="1:10" s="1" customFormat="1" ht="25.5" customHeight="1" x14ac:dyDescent="0.2">
      <c r="A1311" s="11" t="s">
        <v>308</v>
      </c>
      <c r="B1311" s="21">
        <v>44386</v>
      </c>
      <c r="C1311" s="139" t="s">
        <v>898</v>
      </c>
      <c r="D1311" s="140"/>
      <c r="E1311" s="11" t="s">
        <v>102</v>
      </c>
      <c r="F1311" s="12">
        <v>300</v>
      </c>
      <c r="G1311" s="12">
        <v>4.9000000000000004</v>
      </c>
      <c r="H1311" s="12">
        <v>6.25</v>
      </c>
      <c r="I1311" s="13">
        <f t="shared" si="108"/>
        <v>1470</v>
      </c>
      <c r="J1311" s="13">
        <f t="shared" si="109"/>
        <v>1875</v>
      </c>
    </row>
    <row r="1312" spans="1:10" s="1" customFormat="1" ht="25.5" customHeight="1" x14ac:dyDescent="0.2">
      <c r="A1312" s="11" t="s">
        <v>308</v>
      </c>
      <c r="B1312" s="34">
        <v>40380</v>
      </c>
      <c r="C1312" s="139" t="s">
        <v>899</v>
      </c>
      <c r="D1312" s="140"/>
      <c r="E1312" s="11" t="s">
        <v>102</v>
      </c>
      <c r="F1312" s="12">
        <v>150</v>
      </c>
      <c r="G1312" s="12">
        <v>9.0500000000000007</v>
      </c>
      <c r="H1312" s="12">
        <v>11.55</v>
      </c>
      <c r="I1312" s="13">
        <f t="shared" si="108"/>
        <v>1357.5</v>
      </c>
      <c r="J1312" s="13">
        <f t="shared" si="109"/>
        <v>1732.5</v>
      </c>
    </row>
    <row r="1313" spans="1:10" s="1" customFormat="1" ht="25.5" customHeight="1" x14ac:dyDescent="0.2">
      <c r="A1313" s="10">
        <v>39771</v>
      </c>
      <c r="B1313" s="34">
        <v>40745</v>
      </c>
      <c r="C1313" s="139" t="s">
        <v>900</v>
      </c>
      <c r="D1313" s="140"/>
      <c r="E1313" s="11" t="s">
        <v>102</v>
      </c>
      <c r="F1313" s="12">
        <v>3</v>
      </c>
      <c r="G1313" s="12">
        <v>15.43</v>
      </c>
      <c r="H1313" s="12">
        <v>19.690000000000001</v>
      </c>
      <c r="I1313" s="13">
        <f t="shared" si="108"/>
        <v>46.29</v>
      </c>
      <c r="J1313" s="13">
        <f t="shared" si="109"/>
        <v>59.070000000000007</v>
      </c>
    </row>
    <row r="1314" spans="1:10" s="1" customFormat="1" ht="25.5" customHeight="1" x14ac:dyDescent="0.2">
      <c r="A1314" s="11" t="s">
        <v>901</v>
      </c>
      <c r="B1314" s="34">
        <v>41111</v>
      </c>
      <c r="C1314" s="139" t="s">
        <v>902</v>
      </c>
      <c r="D1314" s="140"/>
      <c r="E1314" s="11" t="s">
        <v>102</v>
      </c>
      <c r="F1314" s="12">
        <v>8</v>
      </c>
      <c r="G1314" s="12">
        <v>80.319999999999993</v>
      </c>
      <c r="H1314" s="12">
        <v>102.48</v>
      </c>
      <c r="I1314" s="13">
        <f t="shared" si="108"/>
        <v>642.55999999999995</v>
      </c>
      <c r="J1314" s="13">
        <f t="shared" si="109"/>
        <v>819.84</v>
      </c>
    </row>
    <row r="1315" spans="1:10" s="1" customFormat="1" ht="25.5" customHeight="1" x14ac:dyDescent="0.2">
      <c r="A1315" s="11" t="s">
        <v>696</v>
      </c>
      <c r="B1315" s="34">
        <v>41476</v>
      </c>
      <c r="C1315" s="139" t="s">
        <v>903</v>
      </c>
      <c r="D1315" s="140"/>
      <c r="E1315" s="11" t="s">
        <v>102</v>
      </c>
      <c r="F1315" s="12">
        <v>8</v>
      </c>
      <c r="G1315" s="12">
        <v>165.35</v>
      </c>
      <c r="H1315" s="12">
        <v>210.97</v>
      </c>
      <c r="I1315" s="13">
        <f t="shared" si="108"/>
        <v>1322.8</v>
      </c>
      <c r="J1315" s="13">
        <f t="shared" si="109"/>
        <v>1687.76</v>
      </c>
    </row>
    <row r="1316" spans="1:10" s="1" customFormat="1" ht="25.5" customHeight="1" x14ac:dyDescent="0.2">
      <c r="A1316" s="8"/>
      <c r="B1316" s="149" t="s">
        <v>904</v>
      </c>
      <c r="C1316" s="150"/>
      <c r="D1316" s="150"/>
      <c r="E1316" s="150"/>
      <c r="F1316" s="150"/>
      <c r="G1316" s="151"/>
      <c r="H1316" s="8"/>
      <c r="I1316" s="18">
        <f>SUM(I1303:I1315)</f>
        <v>5287.29</v>
      </c>
      <c r="J1316" s="18">
        <f>SUM(J1303:J1315)</f>
        <v>6746.16</v>
      </c>
    </row>
    <row r="1317" spans="1:10" s="1" customFormat="1" ht="25.5" customHeight="1" x14ac:dyDescent="0.2">
      <c r="A1317" s="8"/>
      <c r="B1317" s="9" t="s">
        <v>905</v>
      </c>
      <c r="C1317" s="137" t="s">
        <v>906</v>
      </c>
      <c r="D1317" s="138"/>
      <c r="E1317" s="8"/>
      <c r="F1317" s="8"/>
      <c r="G1317" s="8"/>
      <c r="H1317" s="8"/>
      <c r="I1317" s="8"/>
      <c r="J1317" s="8"/>
    </row>
    <row r="1318" spans="1:10" s="1" customFormat="1" ht="25.5" customHeight="1" x14ac:dyDescent="0.2">
      <c r="A1318" s="11" t="s">
        <v>308</v>
      </c>
      <c r="B1318" s="21">
        <v>44409</v>
      </c>
      <c r="C1318" s="139" t="s">
        <v>907</v>
      </c>
      <c r="D1318" s="140"/>
      <c r="E1318" s="11" t="s">
        <v>102</v>
      </c>
      <c r="F1318" s="12">
        <v>4</v>
      </c>
      <c r="G1318" s="12">
        <v>53.79</v>
      </c>
      <c r="H1318" s="12">
        <v>68.63</v>
      </c>
      <c r="I1318" s="13">
        <f t="shared" ref="I1318:I1329" si="110">F1318*G1318</f>
        <v>215.16</v>
      </c>
      <c r="J1318" s="13">
        <f t="shared" ref="J1318:J1329" si="111">F1318*H1318</f>
        <v>274.52</v>
      </c>
    </row>
    <row r="1319" spans="1:10" s="1" customFormat="1" ht="25.5" customHeight="1" x14ac:dyDescent="0.2">
      <c r="A1319" s="11" t="s">
        <v>308</v>
      </c>
      <c r="B1319" s="21">
        <v>44410</v>
      </c>
      <c r="C1319" s="139" t="s">
        <v>908</v>
      </c>
      <c r="D1319" s="140"/>
      <c r="E1319" s="11" t="s">
        <v>102</v>
      </c>
      <c r="F1319" s="12">
        <v>1</v>
      </c>
      <c r="G1319" s="12">
        <v>53.79</v>
      </c>
      <c r="H1319" s="12">
        <v>68.63</v>
      </c>
      <c r="I1319" s="13">
        <f t="shared" si="110"/>
        <v>53.79</v>
      </c>
      <c r="J1319" s="13">
        <f t="shared" si="111"/>
        <v>68.63</v>
      </c>
    </row>
    <row r="1320" spans="1:10" s="1" customFormat="1" ht="25.5" customHeight="1" x14ac:dyDescent="0.2">
      <c r="A1320" s="11" t="s">
        <v>308</v>
      </c>
      <c r="B1320" s="21">
        <v>44411</v>
      </c>
      <c r="C1320" s="139" t="s">
        <v>909</v>
      </c>
      <c r="D1320" s="140"/>
      <c r="E1320" s="11" t="s">
        <v>102</v>
      </c>
      <c r="F1320" s="12">
        <v>1</v>
      </c>
      <c r="G1320" s="12">
        <v>115.99</v>
      </c>
      <c r="H1320" s="12">
        <v>147.99</v>
      </c>
      <c r="I1320" s="13">
        <f t="shared" si="110"/>
        <v>115.99</v>
      </c>
      <c r="J1320" s="13">
        <f t="shared" si="111"/>
        <v>147.99</v>
      </c>
    </row>
    <row r="1321" spans="1:10" s="1" customFormat="1" ht="25.5" customHeight="1" x14ac:dyDescent="0.2">
      <c r="A1321" s="11" t="s">
        <v>308</v>
      </c>
      <c r="B1321" s="21">
        <v>44412</v>
      </c>
      <c r="C1321" s="139" t="s">
        <v>910</v>
      </c>
      <c r="D1321" s="140"/>
      <c r="E1321" s="11" t="s">
        <v>102</v>
      </c>
      <c r="F1321" s="12">
        <v>3</v>
      </c>
      <c r="G1321" s="12">
        <v>232.9</v>
      </c>
      <c r="H1321" s="12">
        <v>297.16000000000003</v>
      </c>
      <c r="I1321" s="13">
        <f t="shared" si="110"/>
        <v>698.7</v>
      </c>
      <c r="J1321" s="13">
        <f t="shared" si="111"/>
        <v>891.48</v>
      </c>
    </row>
    <row r="1322" spans="1:10" s="1" customFormat="1" ht="25.5" customHeight="1" x14ac:dyDescent="0.2">
      <c r="A1322" s="11" t="s">
        <v>308</v>
      </c>
      <c r="B1322" s="21">
        <v>44413</v>
      </c>
      <c r="C1322" s="139" t="s">
        <v>911</v>
      </c>
      <c r="D1322" s="140"/>
      <c r="E1322" s="11" t="s">
        <v>102</v>
      </c>
      <c r="F1322" s="12">
        <v>1</v>
      </c>
      <c r="G1322" s="12">
        <v>120</v>
      </c>
      <c r="H1322" s="12">
        <v>153.11000000000001</v>
      </c>
      <c r="I1322" s="13">
        <f t="shared" si="110"/>
        <v>120</v>
      </c>
      <c r="J1322" s="13">
        <f t="shared" si="111"/>
        <v>153.11000000000001</v>
      </c>
    </row>
    <row r="1323" spans="1:10" s="1" customFormat="1" ht="25.5" customHeight="1" x14ac:dyDescent="0.2">
      <c r="A1323" s="11" t="s">
        <v>308</v>
      </c>
      <c r="B1323" s="21">
        <v>44414</v>
      </c>
      <c r="C1323" s="139" t="s">
        <v>912</v>
      </c>
      <c r="D1323" s="140"/>
      <c r="E1323" s="11" t="s">
        <v>102</v>
      </c>
      <c r="F1323" s="12">
        <v>1</v>
      </c>
      <c r="G1323" s="12">
        <v>66.87</v>
      </c>
      <c r="H1323" s="12">
        <v>85.32</v>
      </c>
      <c r="I1323" s="13">
        <f t="shared" si="110"/>
        <v>66.87</v>
      </c>
      <c r="J1323" s="13">
        <f t="shared" si="111"/>
        <v>85.32</v>
      </c>
    </row>
    <row r="1324" spans="1:10" s="1" customFormat="1" ht="25.5" customHeight="1" x14ac:dyDescent="0.2">
      <c r="A1324" s="11" t="s">
        <v>308</v>
      </c>
      <c r="B1324" s="21">
        <v>44415</v>
      </c>
      <c r="C1324" s="139" t="s">
        <v>913</v>
      </c>
      <c r="D1324" s="140"/>
      <c r="E1324" s="11" t="s">
        <v>102</v>
      </c>
      <c r="F1324" s="12">
        <v>1</v>
      </c>
      <c r="G1324" s="12">
        <v>89.11</v>
      </c>
      <c r="H1324" s="12">
        <v>113.7</v>
      </c>
      <c r="I1324" s="13">
        <f t="shared" si="110"/>
        <v>89.11</v>
      </c>
      <c r="J1324" s="13">
        <f t="shared" si="111"/>
        <v>113.7</v>
      </c>
    </row>
    <row r="1325" spans="1:10" s="1" customFormat="1" ht="25.5" customHeight="1" x14ac:dyDescent="0.2">
      <c r="A1325" s="11" t="s">
        <v>308</v>
      </c>
      <c r="B1325" s="21">
        <v>44416</v>
      </c>
      <c r="C1325" s="139" t="s">
        <v>914</v>
      </c>
      <c r="D1325" s="140"/>
      <c r="E1325" s="11" t="s">
        <v>102</v>
      </c>
      <c r="F1325" s="12">
        <v>1</v>
      </c>
      <c r="G1325" s="12">
        <v>98.32</v>
      </c>
      <c r="H1325" s="12">
        <v>125.45</v>
      </c>
      <c r="I1325" s="13">
        <f t="shared" si="110"/>
        <v>98.32</v>
      </c>
      <c r="J1325" s="13">
        <f t="shared" si="111"/>
        <v>125.45</v>
      </c>
    </row>
    <row r="1326" spans="1:10" s="1" customFormat="1" ht="25.5" customHeight="1" x14ac:dyDescent="0.2">
      <c r="A1326" s="11" t="s">
        <v>915</v>
      </c>
      <c r="B1326" s="21">
        <v>44417</v>
      </c>
      <c r="C1326" s="139" t="s">
        <v>916</v>
      </c>
      <c r="D1326" s="140"/>
      <c r="E1326" s="11" t="s">
        <v>102</v>
      </c>
      <c r="F1326" s="12">
        <v>1</v>
      </c>
      <c r="G1326" s="12">
        <v>81.760000000000005</v>
      </c>
      <c r="H1326" s="12">
        <v>104.31</v>
      </c>
      <c r="I1326" s="13">
        <f t="shared" si="110"/>
        <v>81.760000000000005</v>
      </c>
      <c r="J1326" s="13">
        <f t="shared" si="111"/>
        <v>104.31</v>
      </c>
    </row>
    <row r="1327" spans="1:10" s="1" customFormat="1" ht="25.5" customHeight="1" x14ac:dyDescent="0.2">
      <c r="A1327" s="11" t="s">
        <v>917</v>
      </c>
      <c r="B1327" s="34">
        <v>40411</v>
      </c>
      <c r="C1327" s="139" t="s">
        <v>918</v>
      </c>
      <c r="D1327" s="140"/>
      <c r="E1327" s="11" t="s">
        <v>102</v>
      </c>
      <c r="F1327" s="12">
        <v>1</v>
      </c>
      <c r="G1327" s="12">
        <v>72.62</v>
      </c>
      <c r="H1327" s="12">
        <v>92.66</v>
      </c>
      <c r="I1327" s="13">
        <f t="shared" si="110"/>
        <v>72.62</v>
      </c>
      <c r="J1327" s="13">
        <f t="shared" si="111"/>
        <v>92.66</v>
      </c>
    </row>
    <row r="1328" spans="1:10" s="1" customFormat="1" ht="25.5" customHeight="1" x14ac:dyDescent="0.2">
      <c r="A1328" s="11" t="s">
        <v>308</v>
      </c>
      <c r="B1328" s="34">
        <v>40776</v>
      </c>
      <c r="C1328" s="139" t="s">
        <v>919</v>
      </c>
      <c r="D1328" s="140"/>
      <c r="E1328" s="11" t="s">
        <v>102</v>
      </c>
      <c r="F1328" s="12">
        <v>3</v>
      </c>
      <c r="G1328" s="12">
        <v>17.100000000000001</v>
      </c>
      <c r="H1328" s="12">
        <v>21.82</v>
      </c>
      <c r="I1328" s="13">
        <f t="shared" si="110"/>
        <v>51.300000000000004</v>
      </c>
      <c r="J1328" s="13">
        <f t="shared" si="111"/>
        <v>65.460000000000008</v>
      </c>
    </row>
    <row r="1329" spans="1:10" s="1" customFormat="1" ht="25.5" customHeight="1" x14ac:dyDescent="0.2">
      <c r="A1329" s="11" t="s">
        <v>308</v>
      </c>
      <c r="B1329" s="34">
        <v>41142</v>
      </c>
      <c r="C1329" s="139" t="s">
        <v>920</v>
      </c>
      <c r="D1329" s="140"/>
      <c r="E1329" s="11" t="s">
        <v>102</v>
      </c>
      <c r="F1329" s="12">
        <v>2</v>
      </c>
      <c r="G1329" s="12">
        <v>17.100000000000001</v>
      </c>
      <c r="H1329" s="12">
        <v>21.82</v>
      </c>
      <c r="I1329" s="13">
        <f t="shared" si="110"/>
        <v>34.200000000000003</v>
      </c>
      <c r="J1329" s="13">
        <f t="shared" si="111"/>
        <v>43.64</v>
      </c>
    </row>
    <row r="1330" spans="1:10" s="1" customFormat="1" ht="25.5" customHeight="1" x14ac:dyDescent="0.2">
      <c r="A1330" s="8"/>
      <c r="B1330" s="149" t="s">
        <v>921</v>
      </c>
      <c r="C1330" s="150"/>
      <c r="D1330" s="150"/>
      <c r="E1330" s="150"/>
      <c r="F1330" s="150"/>
      <c r="G1330" s="151"/>
      <c r="H1330" s="8"/>
      <c r="I1330" s="18">
        <f>SUM(I1318:I1329)</f>
        <v>1697.8200000000002</v>
      </c>
      <c r="J1330" s="18">
        <f>SUM(J1318:J1329)</f>
        <v>2166.27</v>
      </c>
    </row>
    <row r="1331" spans="1:10" s="1" customFormat="1" ht="25.5" customHeight="1" x14ac:dyDescent="0.2">
      <c r="A1331" s="8"/>
      <c r="B1331" s="9" t="s">
        <v>922</v>
      </c>
      <c r="C1331" s="137" t="s">
        <v>923</v>
      </c>
      <c r="D1331" s="138"/>
      <c r="E1331" s="8"/>
      <c r="F1331" s="8"/>
      <c r="G1331" s="8"/>
      <c r="H1331" s="8"/>
      <c r="I1331" s="8"/>
      <c r="J1331" s="8"/>
    </row>
    <row r="1332" spans="1:10" s="1" customFormat="1" ht="25.5" customHeight="1" x14ac:dyDescent="0.2">
      <c r="A1332" s="10">
        <v>93655</v>
      </c>
      <c r="B1332" s="21">
        <v>44440</v>
      </c>
      <c r="C1332" s="139" t="s">
        <v>924</v>
      </c>
      <c r="D1332" s="140"/>
      <c r="E1332" s="11" t="s">
        <v>102</v>
      </c>
      <c r="F1332" s="12">
        <v>41</v>
      </c>
      <c r="G1332" s="12">
        <v>11.19</v>
      </c>
      <c r="H1332" s="12">
        <v>14.28</v>
      </c>
      <c r="I1332" s="13">
        <f t="shared" ref="I1332:I1347" si="112">F1332*G1332</f>
        <v>458.78999999999996</v>
      </c>
      <c r="J1332" s="13">
        <f t="shared" ref="J1332:J1347" si="113">F1332*H1332</f>
        <v>585.48</v>
      </c>
    </row>
    <row r="1333" spans="1:10" s="1" customFormat="1" ht="25.5" customHeight="1" x14ac:dyDescent="0.2">
      <c r="A1333" s="10">
        <v>93656</v>
      </c>
      <c r="B1333" s="21">
        <v>44441</v>
      </c>
      <c r="C1333" s="139" t="s">
        <v>925</v>
      </c>
      <c r="D1333" s="140"/>
      <c r="E1333" s="11" t="s">
        <v>102</v>
      </c>
      <c r="F1333" s="12">
        <v>25</v>
      </c>
      <c r="G1333" s="12">
        <v>11.19</v>
      </c>
      <c r="H1333" s="12">
        <v>14.28</v>
      </c>
      <c r="I1333" s="13">
        <f t="shared" si="112"/>
        <v>279.75</v>
      </c>
      <c r="J1333" s="13">
        <f t="shared" si="113"/>
        <v>357</v>
      </c>
    </row>
    <row r="1334" spans="1:10" s="1" customFormat="1" ht="25.5" customHeight="1" x14ac:dyDescent="0.2">
      <c r="A1334" s="10">
        <v>93667</v>
      </c>
      <c r="B1334" s="21">
        <v>44442</v>
      </c>
      <c r="C1334" s="139" t="s">
        <v>926</v>
      </c>
      <c r="D1334" s="140"/>
      <c r="E1334" s="11" t="s">
        <v>102</v>
      </c>
      <c r="F1334" s="12">
        <v>1</v>
      </c>
      <c r="G1334" s="12">
        <v>63.11</v>
      </c>
      <c r="H1334" s="12">
        <v>80.52</v>
      </c>
      <c r="I1334" s="13">
        <f t="shared" si="112"/>
        <v>63.11</v>
      </c>
      <c r="J1334" s="13">
        <f t="shared" si="113"/>
        <v>80.52</v>
      </c>
    </row>
    <row r="1335" spans="1:10" s="1" customFormat="1" ht="25.5" customHeight="1" x14ac:dyDescent="0.2">
      <c r="A1335" s="10">
        <v>93669</v>
      </c>
      <c r="B1335" s="21">
        <v>44443</v>
      </c>
      <c r="C1335" s="139" t="s">
        <v>927</v>
      </c>
      <c r="D1335" s="140"/>
      <c r="E1335" s="11" t="s">
        <v>102</v>
      </c>
      <c r="F1335" s="12">
        <v>2</v>
      </c>
      <c r="G1335" s="12">
        <v>66.849999999999994</v>
      </c>
      <c r="H1335" s="12">
        <v>85.29</v>
      </c>
      <c r="I1335" s="13">
        <f t="shared" si="112"/>
        <v>133.69999999999999</v>
      </c>
      <c r="J1335" s="13">
        <f t="shared" si="113"/>
        <v>170.58</v>
      </c>
    </row>
    <row r="1336" spans="1:10" s="1" customFormat="1" ht="25.5" customHeight="1" x14ac:dyDescent="0.2">
      <c r="A1336" s="10">
        <v>93671</v>
      </c>
      <c r="B1336" s="21">
        <v>44444</v>
      </c>
      <c r="C1336" s="139" t="s">
        <v>928</v>
      </c>
      <c r="D1336" s="140"/>
      <c r="E1336" s="11" t="s">
        <v>102</v>
      </c>
      <c r="F1336" s="12">
        <v>3</v>
      </c>
      <c r="G1336" s="12">
        <v>69.86</v>
      </c>
      <c r="H1336" s="12">
        <v>89.13</v>
      </c>
      <c r="I1336" s="13">
        <f t="shared" si="112"/>
        <v>209.57999999999998</v>
      </c>
      <c r="J1336" s="13">
        <f t="shared" si="113"/>
        <v>267.39</v>
      </c>
    </row>
    <row r="1337" spans="1:10" s="1" customFormat="1" ht="25.5" customHeight="1" x14ac:dyDescent="0.2">
      <c r="A1337" s="10">
        <v>93673</v>
      </c>
      <c r="B1337" s="21">
        <v>44445</v>
      </c>
      <c r="C1337" s="139" t="s">
        <v>929</v>
      </c>
      <c r="D1337" s="140"/>
      <c r="E1337" s="11" t="s">
        <v>102</v>
      </c>
      <c r="F1337" s="12">
        <v>1</v>
      </c>
      <c r="G1337" s="12">
        <v>80.959999999999994</v>
      </c>
      <c r="H1337" s="12">
        <v>103.3</v>
      </c>
      <c r="I1337" s="13">
        <f t="shared" si="112"/>
        <v>80.959999999999994</v>
      </c>
      <c r="J1337" s="13">
        <f t="shared" si="113"/>
        <v>103.3</v>
      </c>
    </row>
    <row r="1338" spans="1:10" s="1" customFormat="1" ht="25.5" customHeight="1" x14ac:dyDescent="0.2">
      <c r="A1338" s="11" t="s">
        <v>930</v>
      </c>
      <c r="B1338" s="21">
        <v>44446</v>
      </c>
      <c r="C1338" s="139" t="s">
        <v>931</v>
      </c>
      <c r="D1338" s="140"/>
      <c r="E1338" s="11" t="s">
        <v>102</v>
      </c>
      <c r="F1338" s="12">
        <v>1</v>
      </c>
      <c r="G1338" s="12">
        <v>84.91</v>
      </c>
      <c r="H1338" s="12">
        <v>108.33</v>
      </c>
      <c r="I1338" s="13">
        <f t="shared" si="112"/>
        <v>84.91</v>
      </c>
      <c r="J1338" s="13">
        <f t="shared" si="113"/>
        <v>108.33</v>
      </c>
    </row>
    <row r="1339" spans="1:10" s="1" customFormat="1" ht="25.5" customHeight="1" x14ac:dyDescent="0.2">
      <c r="A1339" s="11" t="s">
        <v>932</v>
      </c>
      <c r="B1339" s="21">
        <v>44447</v>
      </c>
      <c r="C1339" s="139" t="s">
        <v>933</v>
      </c>
      <c r="D1339" s="140"/>
      <c r="E1339" s="11" t="s">
        <v>102</v>
      </c>
      <c r="F1339" s="12">
        <v>1</v>
      </c>
      <c r="G1339" s="12">
        <v>84.91</v>
      </c>
      <c r="H1339" s="12">
        <v>108.33</v>
      </c>
      <c r="I1339" s="13">
        <f t="shared" si="112"/>
        <v>84.91</v>
      </c>
      <c r="J1339" s="13">
        <f t="shared" si="113"/>
        <v>108.33</v>
      </c>
    </row>
    <row r="1340" spans="1:10" s="1" customFormat="1" ht="25.5" customHeight="1" x14ac:dyDescent="0.2">
      <c r="A1340" s="11" t="s">
        <v>78</v>
      </c>
      <c r="B1340" s="21">
        <v>44448</v>
      </c>
      <c r="C1340" s="139" t="s">
        <v>934</v>
      </c>
      <c r="D1340" s="140"/>
      <c r="E1340" s="11" t="s">
        <v>102</v>
      </c>
      <c r="F1340" s="12">
        <v>2</v>
      </c>
      <c r="G1340" s="12">
        <v>72.77</v>
      </c>
      <c r="H1340" s="12">
        <v>92.84</v>
      </c>
      <c r="I1340" s="13">
        <f t="shared" si="112"/>
        <v>145.54</v>
      </c>
      <c r="J1340" s="13">
        <f t="shared" si="113"/>
        <v>185.68</v>
      </c>
    </row>
    <row r="1341" spans="1:10" s="1" customFormat="1" ht="25.5" customHeight="1" x14ac:dyDescent="0.2">
      <c r="A1341" s="11" t="s">
        <v>78</v>
      </c>
      <c r="B1341" s="34">
        <v>40442</v>
      </c>
      <c r="C1341" s="139" t="s">
        <v>935</v>
      </c>
      <c r="D1341" s="140"/>
      <c r="E1341" s="11" t="s">
        <v>102</v>
      </c>
      <c r="F1341" s="12">
        <v>1</v>
      </c>
      <c r="G1341" s="12">
        <v>72.77</v>
      </c>
      <c r="H1341" s="12">
        <v>92.84</v>
      </c>
      <c r="I1341" s="13">
        <f t="shared" si="112"/>
        <v>72.77</v>
      </c>
      <c r="J1341" s="13">
        <f t="shared" si="113"/>
        <v>92.84</v>
      </c>
    </row>
    <row r="1342" spans="1:10" s="1" customFormat="1" ht="25.5" customHeight="1" x14ac:dyDescent="0.2">
      <c r="A1342" s="11" t="s">
        <v>308</v>
      </c>
      <c r="B1342" s="34">
        <v>40807</v>
      </c>
      <c r="C1342" s="139" t="s">
        <v>936</v>
      </c>
      <c r="D1342" s="140"/>
      <c r="E1342" s="11" t="s">
        <v>102</v>
      </c>
      <c r="F1342" s="12">
        <v>1</v>
      </c>
      <c r="G1342" s="12">
        <v>750</v>
      </c>
      <c r="H1342" s="12">
        <v>956.93</v>
      </c>
      <c r="I1342" s="13">
        <f t="shared" si="112"/>
        <v>750</v>
      </c>
      <c r="J1342" s="13">
        <f t="shared" si="113"/>
        <v>956.93</v>
      </c>
    </row>
    <row r="1343" spans="1:10" s="1" customFormat="1" ht="25.5" customHeight="1" x14ac:dyDescent="0.2">
      <c r="A1343" s="11" t="s">
        <v>937</v>
      </c>
      <c r="B1343" s="34">
        <v>41173</v>
      </c>
      <c r="C1343" s="139" t="s">
        <v>938</v>
      </c>
      <c r="D1343" s="140"/>
      <c r="E1343" s="11" t="s">
        <v>102</v>
      </c>
      <c r="F1343" s="12">
        <v>1</v>
      </c>
      <c r="G1343" s="12">
        <v>397.29</v>
      </c>
      <c r="H1343" s="12">
        <v>506.9</v>
      </c>
      <c r="I1343" s="13">
        <f t="shared" si="112"/>
        <v>397.29</v>
      </c>
      <c r="J1343" s="13">
        <f t="shared" si="113"/>
        <v>506.9</v>
      </c>
    </row>
    <row r="1344" spans="1:10" s="1" customFormat="1" ht="25.5" customHeight="1" x14ac:dyDescent="0.2">
      <c r="A1344" s="11" t="s">
        <v>939</v>
      </c>
      <c r="B1344" s="34">
        <v>41538</v>
      </c>
      <c r="C1344" s="139" t="s">
        <v>940</v>
      </c>
      <c r="D1344" s="140"/>
      <c r="E1344" s="11" t="s">
        <v>102</v>
      </c>
      <c r="F1344" s="12">
        <v>1</v>
      </c>
      <c r="G1344" s="12">
        <v>762.97</v>
      </c>
      <c r="H1344" s="12">
        <v>973.47</v>
      </c>
      <c r="I1344" s="13">
        <f t="shared" si="112"/>
        <v>762.97</v>
      </c>
      <c r="J1344" s="13">
        <f t="shared" si="113"/>
        <v>973.47</v>
      </c>
    </row>
    <row r="1345" spans="1:10" s="1" customFormat="1" ht="25.5" customHeight="1" x14ac:dyDescent="0.2">
      <c r="A1345" s="11" t="s">
        <v>78</v>
      </c>
      <c r="B1345" s="34">
        <v>41903</v>
      </c>
      <c r="C1345" s="139" t="s">
        <v>941</v>
      </c>
      <c r="D1345" s="140"/>
      <c r="E1345" s="11" t="s">
        <v>102</v>
      </c>
      <c r="F1345" s="12">
        <v>57</v>
      </c>
      <c r="G1345" s="12">
        <v>126.31</v>
      </c>
      <c r="H1345" s="12">
        <v>161.15</v>
      </c>
      <c r="I1345" s="13">
        <f t="shared" si="112"/>
        <v>7199.67</v>
      </c>
      <c r="J1345" s="13">
        <f t="shared" si="113"/>
        <v>9185.5500000000011</v>
      </c>
    </row>
    <row r="1346" spans="1:10" s="1" customFormat="1" ht="25.5" customHeight="1" x14ac:dyDescent="0.2">
      <c r="A1346" s="11" t="s">
        <v>78</v>
      </c>
      <c r="B1346" s="34">
        <v>42268</v>
      </c>
      <c r="C1346" s="139" t="s">
        <v>942</v>
      </c>
      <c r="D1346" s="140"/>
      <c r="E1346" s="11" t="s">
        <v>102</v>
      </c>
      <c r="F1346" s="12">
        <v>1</v>
      </c>
      <c r="G1346" s="12">
        <v>157.28</v>
      </c>
      <c r="H1346" s="12">
        <v>200.67</v>
      </c>
      <c r="I1346" s="13">
        <f t="shared" si="112"/>
        <v>157.28</v>
      </c>
      <c r="J1346" s="13">
        <f t="shared" si="113"/>
        <v>200.67</v>
      </c>
    </row>
    <row r="1347" spans="1:10" s="1" customFormat="1" ht="25.5" customHeight="1" x14ac:dyDescent="0.2">
      <c r="A1347" s="11" t="s">
        <v>943</v>
      </c>
      <c r="B1347" s="34">
        <v>42634</v>
      </c>
      <c r="C1347" s="139" t="s">
        <v>944</v>
      </c>
      <c r="D1347" s="140"/>
      <c r="E1347" s="11" t="s">
        <v>102</v>
      </c>
      <c r="F1347" s="12">
        <v>4</v>
      </c>
      <c r="G1347" s="12">
        <v>99.53</v>
      </c>
      <c r="H1347" s="12">
        <v>126.99</v>
      </c>
      <c r="I1347" s="13">
        <f t="shared" si="112"/>
        <v>398.12</v>
      </c>
      <c r="J1347" s="13">
        <f t="shared" si="113"/>
        <v>507.96</v>
      </c>
    </row>
    <row r="1348" spans="1:10" s="1" customFormat="1" ht="25.5" customHeight="1" x14ac:dyDescent="0.2">
      <c r="A1348" s="8"/>
      <c r="B1348" s="149" t="s">
        <v>945</v>
      </c>
      <c r="C1348" s="150"/>
      <c r="D1348" s="150"/>
      <c r="E1348" s="150"/>
      <c r="F1348" s="150"/>
      <c r="G1348" s="151"/>
      <c r="H1348" s="8"/>
      <c r="I1348" s="18">
        <f>SUM(I1332:I1347)</f>
        <v>11279.350000000002</v>
      </c>
      <c r="J1348" s="18">
        <f>SUM(J1332:J1347)</f>
        <v>14390.93</v>
      </c>
    </row>
    <row r="1349" spans="1:10" s="1" customFormat="1" ht="25.5" customHeight="1" x14ac:dyDescent="0.2">
      <c r="A1349" s="8"/>
      <c r="B1349" s="9" t="s">
        <v>946</v>
      </c>
      <c r="C1349" s="137" t="s">
        <v>947</v>
      </c>
      <c r="D1349" s="152"/>
      <c r="E1349" s="152"/>
      <c r="F1349" s="152"/>
      <c r="G1349" s="152"/>
      <c r="H1349" s="152"/>
      <c r="I1349" s="138"/>
      <c r="J1349" s="8"/>
    </row>
    <row r="1350" spans="1:10" s="1" customFormat="1" ht="25.5" customHeight="1" x14ac:dyDescent="0.2">
      <c r="A1350" s="11" t="s">
        <v>948</v>
      </c>
      <c r="B1350" s="25">
        <v>44470</v>
      </c>
      <c r="C1350" s="139" t="s">
        <v>949</v>
      </c>
      <c r="D1350" s="140"/>
      <c r="E1350" s="11" t="s">
        <v>102</v>
      </c>
      <c r="F1350" s="12">
        <v>116</v>
      </c>
      <c r="G1350" s="12">
        <v>63.58</v>
      </c>
      <c r="H1350" s="12">
        <v>81.12</v>
      </c>
      <c r="I1350" s="13">
        <f t="shared" ref="I1350:I1356" si="114">F1350*G1350</f>
        <v>7375.28</v>
      </c>
      <c r="J1350" s="13">
        <f t="shared" ref="J1350:J1356" si="115">F1350*H1350</f>
        <v>9409.92</v>
      </c>
    </row>
    <row r="1351" spans="1:10" s="1" customFormat="1" ht="25.5" customHeight="1" x14ac:dyDescent="0.2">
      <c r="A1351" s="11" t="s">
        <v>950</v>
      </c>
      <c r="B1351" s="25">
        <v>44471</v>
      </c>
      <c r="C1351" s="139" t="s">
        <v>951</v>
      </c>
      <c r="D1351" s="140"/>
      <c r="E1351" s="11" t="s">
        <v>102</v>
      </c>
      <c r="F1351" s="12">
        <v>19</v>
      </c>
      <c r="G1351" s="12">
        <v>102.79</v>
      </c>
      <c r="H1351" s="12">
        <v>131.15</v>
      </c>
      <c r="I1351" s="13">
        <f t="shared" si="114"/>
        <v>1953.0100000000002</v>
      </c>
      <c r="J1351" s="13">
        <f t="shared" si="115"/>
        <v>2491.85</v>
      </c>
    </row>
    <row r="1352" spans="1:10" s="1" customFormat="1" ht="25.5" customHeight="1" x14ac:dyDescent="0.2">
      <c r="A1352" s="10">
        <v>38769</v>
      </c>
      <c r="B1352" s="25">
        <v>44472</v>
      </c>
      <c r="C1352" s="139" t="s">
        <v>952</v>
      </c>
      <c r="D1352" s="140"/>
      <c r="E1352" s="11" t="s">
        <v>102</v>
      </c>
      <c r="F1352" s="12">
        <v>12</v>
      </c>
      <c r="G1352" s="12">
        <v>22.83</v>
      </c>
      <c r="H1352" s="12">
        <v>29.13</v>
      </c>
      <c r="I1352" s="13">
        <f t="shared" si="114"/>
        <v>273.95999999999998</v>
      </c>
      <c r="J1352" s="13">
        <f t="shared" si="115"/>
        <v>349.56</v>
      </c>
    </row>
    <row r="1353" spans="1:10" s="1" customFormat="1" ht="25.5" customHeight="1" x14ac:dyDescent="0.2">
      <c r="A1353" s="10">
        <v>38769</v>
      </c>
      <c r="B1353" s="25">
        <v>44473</v>
      </c>
      <c r="C1353" s="139" t="s">
        <v>953</v>
      </c>
      <c r="D1353" s="140"/>
      <c r="E1353" s="11" t="s">
        <v>102</v>
      </c>
      <c r="F1353" s="12">
        <v>18</v>
      </c>
      <c r="G1353" s="12">
        <v>22.83</v>
      </c>
      <c r="H1353" s="12">
        <v>29.13</v>
      </c>
      <c r="I1353" s="13">
        <f t="shared" si="114"/>
        <v>410.93999999999994</v>
      </c>
      <c r="J1353" s="13">
        <f t="shared" si="115"/>
        <v>524.34</v>
      </c>
    </row>
    <row r="1354" spans="1:10" s="1" customFormat="1" ht="25.5" customHeight="1" x14ac:dyDescent="0.2">
      <c r="A1354" s="11" t="s">
        <v>954</v>
      </c>
      <c r="B1354" s="25">
        <v>44474</v>
      </c>
      <c r="C1354" s="139" t="s">
        <v>955</v>
      </c>
      <c r="D1354" s="140"/>
      <c r="E1354" s="11" t="s">
        <v>102</v>
      </c>
      <c r="F1354" s="12">
        <v>2</v>
      </c>
      <c r="G1354" s="13">
        <v>3877.9</v>
      </c>
      <c r="H1354" s="13">
        <v>4947.82</v>
      </c>
      <c r="I1354" s="13">
        <f t="shared" si="114"/>
        <v>7755.8</v>
      </c>
      <c r="J1354" s="13">
        <f t="shared" si="115"/>
        <v>9895.64</v>
      </c>
    </row>
    <row r="1355" spans="1:10" s="1" customFormat="1" ht="25.5" customHeight="1" x14ac:dyDescent="0.2">
      <c r="A1355" s="11" t="s">
        <v>956</v>
      </c>
      <c r="B1355" s="25">
        <v>44475</v>
      </c>
      <c r="C1355" s="139" t="s">
        <v>957</v>
      </c>
      <c r="D1355" s="140"/>
      <c r="E1355" s="11" t="s">
        <v>102</v>
      </c>
      <c r="F1355" s="12">
        <v>4</v>
      </c>
      <c r="G1355" s="13">
        <v>2717.21</v>
      </c>
      <c r="H1355" s="13">
        <v>3466.89</v>
      </c>
      <c r="I1355" s="13">
        <f t="shared" si="114"/>
        <v>10868.84</v>
      </c>
      <c r="J1355" s="13">
        <f t="shared" si="115"/>
        <v>13867.56</v>
      </c>
    </row>
    <row r="1356" spans="1:10" s="1" customFormat="1" ht="25.5" customHeight="1" x14ac:dyDescent="0.2">
      <c r="A1356" s="31" t="s">
        <v>308</v>
      </c>
      <c r="B1356" s="37">
        <v>44476</v>
      </c>
      <c r="C1356" s="139" t="s">
        <v>958</v>
      </c>
      <c r="D1356" s="140"/>
      <c r="E1356" s="31" t="s">
        <v>102</v>
      </c>
      <c r="F1356" s="32">
        <v>5</v>
      </c>
      <c r="G1356" s="32">
        <v>135.36000000000001</v>
      </c>
      <c r="H1356" s="32">
        <v>172.71</v>
      </c>
      <c r="I1356" s="13">
        <f t="shared" si="114"/>
        <v>676.80000000000007</v>
      </c>
      <c r="J1356" s="13">
        <f t="shared" si="115"/>
        <v>863.55000000000007</v>
      </c>
    </row>
    <row r="1357" spans="1:10" s="1" customFormat="1" ht="25.5" customHeight="1" x14ac:dyDescent="0.2">
      <c r="A1357" s="8"/>
      <c r="B1357" s="149" t="s">
        <v>959</v>
      </c>
      <c r="C1357" s="150"/>
      <c r="D1357" s="150"/>
      <c r="E1357" s="150"/>
      <c r="F1357" s="150"/>
      <c r="G1357" s="151"/>
      <c r="H1357" s="8"/>
      <c r="I1357" s="18">
        <f>SUM(I1350:I1356)</f>
        <v>29314.63</v>
      </c>
      <c r="J1357" s="18">
        <f>SUM(J1350:J1356)</f>
        <v>37402.42</v>
      </c>
    </row>
    <row r="1358" spans="1:10" s="1" customFormat="1" ht="25.5" customHeight="1" x14ac:dyDescent="0.2">
      <c r="A1358" s="8"/>
      <c r="B1358" s="9" t="s">
        <v>960</v>
      </c>
      <c r="C1358" s="137" t="s">
        <v>961</v>
      </c>
      <c r="D1358" s="138"/>
      <c r="E1358" s="8"/>
      <c r="F1358" s="8"/>
      <c r="G1358" s="8"/>
      <c r="H1358" s="8"/>
      <c r="I1358" s="8"/>
      <c r="J1358" s="8"/>
    </row>
    <row r="1359" spans="1:10" s="1" customFormat="1" ht="25.5" customHeight="1" x14ac:dyDescent="0.2">
      <c r="A1359" s="10">
        <v>38112</v>
      </c>
      <c r="B1359" s="25">
        <v>44501</v>
      </c>
      <c r="C1359" s="139" t="s">
        <v>962</v>
      </c>
      <c r="D1359" s="140"/>
      <c r="E1359" s="11" t="s">
        <v>102</v>
      </c>
      <c r="F1359" s="12">
        <v>1</v>
      </c>
      <c r="G1359" s="12">
        <v>5.53</v>
      </c>
      <c r="H1359" s="12">
        <v>7.06</v>
      </c>
      <c r="I1359" s="13">
        <f t="shared" ref="I1359:I1371" si="116">F1359*G1359</f>
        <v>5.53</v>
      </c>
      <c r="J1359" s="13">
        <f t="shared" ref="J1359:J1371" si="117">F1359*H1359</f>
        <v>7.06</v>
      </c>
    </row>
    <row r="1360" spans="1:10" s="1" customFormat="1" ht="25.5" customHeight="1" x14ac:dyDescent="0.2">
      <c r="A1360" s="10">
        <v>38112</v>
      </c>
      <c r="B1360" s="25">
        <v>44502</v>
      </c>
      <c r="C1360" s="139" t="s">
        <v>963</v>
      </c>
      <c r="D1360" s="140"/>
      <c r="E1360" s="11" t="s">
        <v>102</v>
      </c>
      <c r="F1360" s="12">
        <v>49</v>
      </c>
      <c r="G1360" s="12">
        <v>5.53</v>
      </c>
      <c r="H1360" s="12">
        <v>7.06</v>
      </c>
      <c r="I1360" s="13">
        <f t="shared" si="116"/>
        <v>270.97000000000003</v>
      </c>
      <c r="J1360" s="13">
        <f t="shared" si="117"/>
        <v>345.94</v>
      </c>
    </row>
    <row r="1361" spans="1:10" s="1" customFormat="1" ht="25.5" customHeight="1" x14ac:dyDescent="0.2">
      <c r="A1361" s="10">
        <v>38079</v>
      </c>
      <c r="B1361" s="25">
        <v>44503</v>
      </c>
      <c r="C1361" s="139" t="s">
        <v>964</v>
      </c>
      <c r="D1361" s="140"/>
      <c r="E1361" s="11" t="s">
        <v>102</v>
      </c>
      <c r="F1361" s="12">
        <v>2</v>
      </c>
      <c r="G1361" s="12">
        <v>17.579999999999998</v>
      </c>
      <c r="H1361" s="12">
        <v>22.43</v>
      </c>
      <c r="I1361" s="13">
        <f t="shared" si="116"/>
        <v>35.159999999999997</v>
      </c>
      <c r="J1361" s="13">
        <f t="shared" si="117"/>
        <v>44.86</v>
      </c>
    </row>
    <row r="1362" spans="1:10" s="1" customFormat="1" ht="25.5" customHeight="1" x14ac:dyDescent="0.2">
      <c r="A1362" s="10">
        <v>38071</v>
      </c>
      <c r="B1362" s="25">
        <v>44504</v>
      </c>
      <c r="C1362" s="139" t="s">
        <v>965</v>
      </c>
      <c r="D1362" s="140"/>
      <c r="E1362" s="11" t="s">
        <v>102</v>
      </c>
      <c r="F1362" s="12">
        <v>5</v>
      </c>
      <c r="G1362" s="12">
        <v>13.94</v>
      </c>
      <c r="H1362" s="12">
        <v>17.79</v>
      </c>
      <c r="I1362" s="13">
        <f t="shared" si="116"/>
        <v>69.7</v>
      </c>
      <c r="J1362" s="13">
        <f t="shared" si="117"/>
        <v>88.949999999999989</v>
      </c>
    </row>
    <row r="1363" spans="1:10" s="1" customFormat="1" ht="25.5" customHeight="1" x14ac:dyDescent="0.2">
      <c r="A1363" s="10">
        <v>38070</v>
      </c>
      <c r="B1363" s="25">
        <v>44505</v>
      </c>
      <c r="C1363" s="139" t="s">
        <v>966</v>
      </c>
      <c r="D1363" s="140"/>
      <c r="E1363" s="11" t="s">
        <v>102</v>
      </c>
      <c r="F1363" s="12">
        <v>2</v>
      </c>
      <c r="G1363" s="12">
        <v>13.47</v>
      </c>
      <c r="H1363" s="12">
        <v>17.190000000000001</v>
      </c>
      <c r="I1363" s="13">
        <f t="shared" si="116"/>
        <v>26.94</v>
      </c>
      <c r="J1363" s="13">
        <f t="shared" si="117"/>
        <v>34.380000000000003</v>
      </c>
    </row>
    <row r="1364" spans="1:10" s="1" customFormat="1" ht="25.5" customHeight="1" x14ac:dyDescent="0.2">
      <c r="A1364" s="10">
        <v>38070</v>
      </c>
      <c r="B1364" s="25">
        <v>44506</v>
      </c>
      <c r="C1364" s="139" t="s">
        <v>967</v>
      </c>
      <c r="D1364" s="140"/>
      <c r="E1364" s="11" t="s">
        <v>102</v>
      </c>
      <c r="F1364" s="12">
        <v>18</v>
      </c>
      <c r="G1364" s="12">
        <v>13.47</v>
      </c>
      <c r="H1364" s="12">
        <v>17.190000000000001</v>
      </c>
      <c r="I1364" s="13">
        <f t="shared" si="116"/>
        <v>242.46</v>
      </c>
      <c r="J1364" s="13">
        <f t="shared" si="117"/>
        <v>309.42</v>
      </c>
    </row>
    <row r="1365" spans="1:10" s="1" customFormat="1" ht="25.5" customHeight="1" x14ac:dyDescent="0.2">
      <c r="A1365" s="10">
        <v>38074</v>
      </c>
      <c r="B1365" s="25">
        <v>44507</v>
      </c>
      <c r="C1365" s="139" t="s">
        <v>968</v>
      </c>
      <c r="D1365" s="140"/>
      <c r="E1365" s="11" t="s">
        <v>102</v>
      </c>
      <c r="F1365" s="12">
        <v>2</v>
      </c>
      <c r="G1365" s="12">
        <v>20.48</v>
      </c>
      <c r="H1365" s="12">
        <v>26.13</v>
      </c>
      <c r="I1365" s="13">
        <f t="shared" si="116"/>
        <v>40.96</v>
      </c>
      <c r="J1365" s="13">
        <f t="shared" si="117"/>
        <v>52.26</v>
      </c>
    </row>
    <row r="1366" spans="1:10" s="1" customFormat="1" ht="25.5" customHeight="1" x14ac:dyDescent="0.2">
      <c r="A1366" s="11" t="s">
        <v>308</v>
      </c>
      <c r="B1366" s="25">
        <v>44508</v>
      </c>
      <c r="C1366" s="139" t="s">
        <v>969</v>
      </c>
      <c r="D1366" s="140"/>
      <c r="E1366" s="11" t="s">
        <v>102</v>
      </c>
      <c r="F1366" s="12">
        <v>1</v>
      </c>
      <c r="G1366" s="12">
        <v>3.9</v>
      </c>
      <c r="H1366" s="12">
        <v>4.9800000000000004</v>
      </c>
      <c r="I1366" s="13">
        <f t="shared" si="116"/>
        <v>3.9</v>
      </c>
      <c r="J1366" s="13">
        <f t="shared" si="117"/>
        <v>4.9800000000000004</v>
      </c>
    </row>
    <row r="1367" spans="1:10" s="1" customFormat="1" ht="25.5" customHeight="1" x14ac:dyDescent="0.2">
      <c r="A1367" s="10">
        <v>38108</v>
      </c>
      <c r="B1367" s="25">
        <v>44509</v>
      </c>
      <c r="C1367" s="139" t="s">
        <v>970</v>
      </c>
      <c r="D1367" s="140"/>
      <c r="E1367" s="11" t="s">
        <v>102</v>
      </c>
      <c r="F1367" s="12">
        <v>6</v>
      </c>
      <c r="G1367" s="12">
        <v>38.54</v>
      </c>
      <c r="H1367" s="12">
        <v>49.17</v>
      </c>
      <c r="I1367" s="13">
        <f t="shared" si="116"/>
        <v>231.24</v>
      </c>
      <c r="J1367" s="13">
        <f t="shared" si="117"/>
        <v>295.02</v>
      </c>
    </row>
    <row r="1368" spans="1:10" s="1" customFormat="1" ht="25.5" customHeight="1" x14ac:dyDescent="0.2">
      <c r="A1368" s="10">
        <v>38092</v>
      </c>
      <c r="B1368" s="38">
        <v>40503</v>
      </c>
      <c r="C1368" s="139" t="s">
        <v>971</v>
      </c>
      <c r="D1368" s="140"/>
      <c r="E1368" s="11" t="s">
        <v>102</v>
      </c>
      <c r="F1368" s="12">
        <v>49</v>
      </c>
      <c r="G1368" s="12">
        <v>1.85</v>
      </c>
      <c r="H1368" s="12">
        <v>2.36</v>
      </c>
      <c r="I1368" s="13">
        <f t="shared" si="116"/>
        <v>90.65</v>
      </c>
      <c r="J1368" s="13">
        <f t="shared" si="117"/>
        <v>115.64</v>
      </c>
    </row>
    <row r="1369" spans="1:10" s="1" customFormat="1" ht="25.5" customHeight="1" x14ac:dyDescent="0.2">
      <c r="A1369" s="10">
        <v>38093</v>
      </c>
      <c r="B1369" s="38">
        <v>40868</v>
      </c>
      <c r="C1369" s="139" t="s">
        <v>972</v>
      </c>
      <c r="D1369" s="140"/>
      <c r="E1369" s="11" t="s">
        <v>102</v>
      </c>
      <c r="F1369" s="12">
        <v>20</v>
      </c>
      <c r="G1369" s="12">
        <v>1.91</v>
      </c>
      <c r="H1369" s="12">
        <v>2.44</v>
      </c>
      <c r="I1369" s="13">
        <f t="shared" si="116"/>
        <v>38.199999999999996</v>
      </c>
      <c r="J1369" s="13">
        <f t="shared" si="117"/>
        <v>48.8</v>
      </c>
    </row>
    <row r="1370" spans="1:10" s="1" customFormat="1" ht="25.5" customHeight="1" x14ac:dyDescent="0.2">
      <c r="A1370" s="10">
        <v>38094</v>
      </c>
      <c r="B1370" s="38">
        <v>41234</v>
      </c>
      <c r="C1370" s="139" t="s">
        <v>973</v>
      </c>
      <c r="D1370" s="140"/>
      <c r="E1370" s="11" t="s">
        <v>102</v>
      </c>
      <c r="F1370" s="12">
        <v>5</v>
      </c>
      <c r="G1370" s="12">
        <v>2.34</v>
      </c>
      <c r="H1370" s="12">
        <v>2.99</v>
      </c>
      <c r="I1370" s="13">
        <f t="shared" si="116"/>
        <v>11.7</v>
      </c>
      <c r="J1370" s="13">
        <f t="shared" si="117"/>
        <v>14.950000000000001</v>
      </c>
    </row>
    <row r="1371" spans="1:10" s="1" customFormat="1" ht="25.5" customHeight="1" x14ac:dyDescent="0.2">
      <c r="A1371" s="10">
        <v>38097</v>
      </c>
      <c r="B1371" s="38">
        <v>41599</v>
      </c>
      <c r="C1371" s="139" t="s">
        <v>974</v>
      </c>
      <c r="D1371" s="140"/>
      <c r="E1371" s="11" t="s">
        <v>102</v>
      </c>
      <c r="F1371" s="12">
        <v>1</v>
      </c>
      <c r="G1371" s="12">
        <v>4.76</v>
      </c>
      <c r="H1371" s="12">
        <v>6.07</v>
      </c>
      <c r="I1371" s="13">
        <f t="shared" si="116"/>
        <v>4.76</v>
      </c>
      <c r="J1371" s="13">
        <f t="shared" si="117"/>
        <v>6.07</v>
      </c>
    </row>
    <row r="1372" spans="1:10" s="1" customFormat="1" ht="25.5" customHeight="1" x14ac:dyDescent="0.2">
      <c r="A1372" s="8"/>
      <c r="B1372" s="149" t="s">
        <v>975</v>
      </c>
      <c r="C1372" s="150"/>
      <c r="D1372" s="150"/>
      <c r="E1372" s="150"/>
      <c r="F1372" s="150"/>
      <c r="G1372" s="151"/>
      <c r="H1372" s="8"/>
      <c r="I1372" s="18">
        <f>SUM(I1359:I1371)</f>
        <v>1072.17</v>
      </c>
      <c r="J1372" s="18">
        <f>SUM(J1359:J1371)</f>
        <v>1368.3300000000002</v>
      </c>
    </row>
    <row r="1373" spans="1:10" s="1" customFormat="1" ht="25.5" customHeight="1" x14ac:dyDescent="0.2">
      <c r="A1373" s="8"/>
      <c r="B1373" s="9" t="s">
        <v>976</v>
      </c>
      <c r="C1373" s="137" t="s">
        <v>977</v>
      </c>
      <c r="D1373" s="152"/>
      <c r="E1373" s="152"/>
      <c r="F1373" s="152"/>
      <c r="G1373" s="152"/>
      <c r="H1373" s="152"/>
      <c r="I1373" s="138"/>
      <c r="J1373" s="8"/>
    </row>
    <row r="1374" spans="1:10" s="1" customFormat="1" ht="25.5" customHeight="1" x14ac:dyDescent="0.2">
      <c r="A1374" s="10">
        <v>38075</v>
      </c>
      <c r="B1374" s="25">
        <v>44531</v>
      </c>
      <c r="C1374" s="139" t="s">
        <v>978</v>
      </c>
      <c r="D1374" s="140"/>
      <c r="E1374" s="11" t="s">
        <v>102</v>
      </c>
      <c r="F1374" s="12">
        <v>14</v>
      </c>
      <c r="G1374" s="12">
        <v>12.82</v>
      </c>
      <c r="H1374" s="12">
        <v>16.36</v>
      </c>
      <c r="I1374" s="13">
        <f t="shared" ref="I1374:I1379" si="118">F1374*G1374</f>
        <v>179.48000000000002</v>
      </c>
      <c r="J1374" s="13">
        <f t="shared" ref="J1374:J1379" si="119">F1374*H1374</f>
        <v>229.04</v>
      </c>
    </row>
    <row r="1375" spans="1:10" s="1" customFormat="1" ht="25.5" customHeight="1" x14ac:dyDescent="0.2">
      <c r="A1375" s="11" t="s">
        <v>308</v>
      </c>
      <c r="B1375" s="25">
        <v>44532</v>
      </c>
      <c r="C1375" s="139" t="s">
        <v>979</v>
      </c>
      <c r="D1375" s="140"/>
      <c r="E1375" s="11" t="s">
        <v>102</v>
      </c>
      <c r="F1375" s="12">
        <v>7</v>
      </c>
      <c r="G1375" s="12">
        <v>3.9</v>
      </c>
      <c r="H1375" s="12">
        <v>4.9800000000000004</v>
      </c>
      <c r="I1375" s="13">
        <f t="shared" si="118"/>
        <v>27.3</v>
      </c>
      <c r="J1375" s="13">
        <f t="shared" si="119"/>
        <v>34.86</v>
      </c>
    </row>
    <row r="1376" spans="1:10" s="1" customFormat="1" ht="25.5" customHeight="1" x14ac:dyDescent="0.2">
      <c r="A1376" s="11" t="s">
        <v>980</v>
      </c>
      <c r="B1376" s="25">
        <v>44533</v>
      </c>
      <c r="C1376" s="139" t="s">
        <v>981</v>
      </c>
      <c r="D1376" s="140"/>
      <c r="E1376" s="11" t="s">
        <v>102</v>
      </c>
      <c r="F1376" s="12">
        <v>191</v>
      </c>
      <c r="G1376" s="12">
        <v>16.91</v>
      </c>
      <c r="H1376" s="12">
        <v>21.58</v>
      </c>
      <c r="I1376" s="13">
        <f t="shared" si="118"/>
        <v>3229.81</v>
      </c>
      <c r="J1376" s="13">
        <f t="shared" si="119"/>
        <v>4121.78</v>
      </c>
    </row>
    <row r="1377" spans="1:10" s="1" customFormat="1" ht="25.5" customHeight="1" x14ac:dyDescent="0.2">
      <c r="A1377" s="11" t="s">
        <v>982</v>
      </c>
      <c r="B1377" s="25">
        <v>44534</v>
      </c>
      <c r="C1377" s="139" t="s">
        <v>983</v>
      </c>
      <c r="D1377" s="140"/>
      <c r="E1377" s="11" t="s">
        <v>102</v>
      </c>
      <c r="F1377" s="12">
        <v>8</v>
      </c>
      <c r="G1377" s="12">
        <v>36.520000000000003</v>
      </c>
      <c r="H1377" s="12">
        <v>46.6</v>
      </c>
      <c r="I1377" s="13">
        <f t="shared" si="118"/>
        <v>292.16000000000003</v>
      </c>
      <c r="J1377" s="13">
        <f t="shared" si="119"/>
        <v>372.8</v>
      </c>
    </row>
    <row r="1378" spans="1:10" s="1" customFormat="1" ht="25.5" customHeight="1" x14ac:dyDescent="0.2">
      <c r="A1378" s="10">
        <v>38093</v>
      </c>
      <c r="B1378" s="25">
        <v>44535</v>
      </c>
      <c r="C1378" s="139" t="s">
        <v>984</v>
      </c>
      <c r="D1378" s="140"/>
      <c r="E1378" s="11" t="s">
        <v>102</v>
      </c>
      <c r="F1378" s="12">
        <v>191</v>
      </c>
      <c r="G1378" s="12">
        <v>1.91</v>
      </c>
      <c r="H1378" s="12">
        <v>2.44</v>
      </c>
      <c r="I1378" s="13">
        <f t="shared" si="118"/>
        <v>364.81</v>
      </c>
      <c r="J1378" s="13">
        <f t="shared" si="119"/>
        <v>466.03999999999996</v>
      </c>
    </row>
    <row r="1379" spans="1:10" s="1" customFormat="1" ht="25.5" customHeight="1" x14ac:dyDescent="0.2">
      <c r="A1379" s="10">
        <v>38091</v>
      </c>
      <c r="B1379" s="25">
        <v>44536</v>
      </c>
      <c r="C1379" s="139" t="s">
        <v>985</v>
      </c>
      <c r="D1379" s="140"/>
      <c r="E1379" s="11" t="s">
        <v>102</v>
      </c>
      <c r="F1379" s="12">
        <v>28</v>
      </c>
      <c r="G1379" s="12">
        <v>1.95</v>
      </c>
      <c r="H1379" s="12">
        <v>2.4900000000000002</v>
      </c>
      <c r="I1379" s="13">
        <f t="shared" si="118"/>
        <v>54.6</v>
      </c>
      <c r="J1379" s="13">
        <f t="shared" si="119"/>
        <v>69.72</v>
      </c>
    </row>
    <row r="1380" spans="1:10" s="1" customFormat="1" ht="25.5" customHeight="1" x14ac:dyDescent="0.2">
      <c r="A1380" s="8"/>
      <c r="B1380" s="149" t="s">
        <v>986</v>
      </c>
      <c r="C1380" s="150"/>
      <c r="D1380" s="150"/>
      <c r="E1380" s="150"/>
      <c r="F1380" s="150"/>
      <c r="G1380" s="151"/>
      <c r="H1380" s="8"/>
      <c r="I1380" s="18">
        <f>SUM(I1374:I1379)</f>
        <v>4148.16</v>
      </c>
      <c r="J1380" s="18">
        <f>SUM(J1374:J1379)</f>
        <v>5294.24</v>
      </c>
    </row>
    <row r="1381" spans="1:10" s="1" customFormat="1" ht="25.5" customHeight="1" x14ac:dyDescent="0.2">
      <c r="A1381" s="8"/>
      <c r="B1381" s="9" t="s">
        <v>987</v>
      </c>
      <c r="C1381" s="137" t="s">
        <v>988</v>
      </c>
      <c r="D1381" s="152"/>
      <c r="E1381" s="152"/>
      <c r="F1381" s="152"/>
      <c r="G1381" s="152"/>
      <c r="H1381" s="152"/>
      <c r="I1381" s="138"/>
      <c r="J1381" s="8"/>
    </row>
    <row r="1382" spans="1:10" s="1" customFormat="1" ht="25.5" customHeight="1" x14ac:dyDescent="0.2">
      <c r="A1382" s="11" t="s">
        <v>989</v>
      </c>
      <c r="B1382" s="11" t="s">
        <v>990</v>
      </c>
      <c r="C1382" s="139" t="s">
        <v>991</v>
      </c>
      <c r="D1382" s="140"/>
      <c r="E1382" s="11" t="s">
        <v>102</v>
      </c>
      <c r="F1382" s="12">
        <v>64</v>
      </c>
      <c r="G1382" s="12">
        <v>3.46</v>
      </c>
      <c r="H1382" s="12">
        <v>4.41</v>
      </c>
      <c r="I1382" s="13">
        <f t="shared" ref="I1382:I1387" si="120">F1382*G1382</f>
        <v>221.44</v>
      </c>
      <c r="J1382" s="13">
        <f t="shared" ref="J1382:J1387" si="121">F1382*H1382</f>
        <v>282.24</v>
      </c>
    </row>
    <row r="1383" spans="1:10" s="1" customFormat="1" ht="25.5" customHeight="1" x14ac:dyDescent="0.2">
      <c r="A1383" s="10">
        <v>11950</v>
      </c>
      <c r="B1383" s="11" t="s">
        <v>992</v>
      </c>
      <c r="C1383" s="139" t="s">
        <v>993</v>
      </c>
      <c r="D1383" s="140"/>
      <c r="E1383" s="11" t="s">
        <v>102</v>
      </c>
      <c r="F1383" s="13">
        <v>1200</v>
      </c>
      <c r="G1383" s="12">
        <v>0.14000000000000001</v>
      </c>
      <c r="H1383" s="12">
        <v>0.18</v>
      </c>
      <c r="I1383" s="13">
        <f t="shared" si="120"/>
        <v>168.00000000000003</v>
      </c>
      <c r="J1383" s="13">
        <f t="shared" si="121"/>
        <v>216</v>
      </c>
    </row>
    <row r="1384" spans="1:10" s="1" customFormat="1" ht="25.5" customHeight="1" x14ac:dyDescent="0.2">
      <c r="A1384" s="11" t="s">
        <v>308</v>
      </c>
      <c r="B1384" s="11" t="s">
        <v>994</v>
      </c>
      <c r="C1384" s="139" t="s">
        <v>995</v>
      </c>
      <c r="D1384" s="140"/>
      <c r="E1384" s="11" t="s">
        <v>102</v>
      </c>
      <c r="F1384" s="12">
        <v>32</v>
      </c>
      <c r="G1384" s="12">
        <v>4.9000000000000004</v>
      </c>
      <c r="H1384" s="12">
        <v>6.25</v>
      </c>
      <c r="I1384" s="13">
        <f t="shared" si="120"/>
        <v>156.80000000000001</v>
      </c>
      <c r="J1384" s="13">
        <f t="shared" si="121"/>
        <v>200</v>
      </c>
    </row>
    <row r="1385" spans="1:10" s="1" customFormat="1" ht="25.5" customHeight="1" x14ac:dyDescent="0.2">
      <c r="A1385" s="11" t="s">
        <v>308</v>
      </c>
      <c r="B1385" s="11" t="s">
        <v>996</v>
      </c>
      <c r="C1385" s="139" t="s">
        <v>997</v>
      </c>
      <c r="D1385" s="140"/>
      <c r="E1385" s="11" t="s">
        <v>102</v>
      </c>
      <c r="F1385" s="12">
        <v>32</v>
      </c>
      <c r="G1385" s="12">
        <v>17</v>
      </c>
      <c r="H1385" s="12">
        <v>21.69</v>
      </c>
      <c r="I1385" s="13">
        <f t="shared" si="120"/>
        <v>544</v>
      </c>
      <c r="J1385" s="13">
        <f t="shared" si="121"/>
        <v>694.08</v>
      </c>
    </row>
    <row r="1386" spans="1:10" s="1" customFormat="1" ht="25.5" customHeight="1" x14ac:dyDescent="0.2">
      <c r="A1386" s="10">
        <v>39997</v>
      </c>
      <c r="B1386" s="11" t="s">
        <v>998</v>
      </c>
      <c r="C1386" s="139" t="s">
        <v>999</v>
      </c>
      <c r="D1386" s="140"/>
      <c r="E1386" s="11" t="s">
        <v>102</v>
      </c>
      <c r="F1386" s="12">
        <v>300</v>
      </c>
      <c r="G1386" s="12">
        <v>0.14000000000000001</v>
      </c>
      <c r="H1386" s="12">
        <v>0.18</v>
      </c>
      <c r="I1386" s="13">
        <f t="shared" si="120"/>
        <v>42.000000000000007</v>
      </c>
      <c r="J1386" s="13">
        <f t="shared" si="121"/>
        <v>54</v>
      </c>
    </row>
    <row r="1387" spans="1:10" s="1" customFormat="1" ht="25.5" customHeight="1" x14ac:dyDescent="0.2">
      <c r="A1387" s="10">
        <v>39996</v>
      </c>
      <c r="B1387" s="11" t="s">
        <v>1000</v>
      </c>
      <c r="C1387" s="139" t="s">
        <v>1001</v>
      </c>
      <c r="D1387" s="140"/>
      <c r="E1387" s="11" t="s">
        <v>81</v>
      </c>
      <c r="F1387" s="12">
        <v>120</v>
      </c>
      <c r="G1387" s="12">
        <v>2.35</v>
      </c>
      <c r="H1387" s="12">
        <v>3</v>
      </c>
      <c r="I1387" s="13">
        <f t="shared" si="120"/>
        <v>282</v>
      </c>
      <c r="J1387" s="13">
        <f t="shared" si="121"/>
        <v>360</v>
      </c>
    </row>
    <row r="1388" spans="1:10" s="1" customFormat="1" ht="25.5" customHeight="1" x14ac:dyDescent="0.2">
      <c r="A1388" s="8"/>
      <c r="B1388" s="149" t="s">
        <v>1002</v>
      </c>
      <c r="C1388" s="150"/>
      <c r="D1388" s="150"/>
      <c r="E1388" s="150"/>
      <c r="F1388" s="150"/>
      <c r="G1388" s="151"/>
      <c r="H1388" s="8"/>
      <c r="I1388" s="18">
        <f>SUM(I1382:I1387)</f>
        <v>1414.24</v>
      </c>
      <c r="J1388" s="18">
        <f>SUM(J1382:J1387)</f>
        <v>1806.3200000000002</v>
      </c>
    </row>
    <row r="1389" spans="1:10" s="1" customFormat="1" ht="25.5" customHeight="1" x14ac:dyDescent="0.2">
      <c r="A1389" s="8"/>
      <c r="B1389" s="9" t="s">
        <v>1003</v>
      </c>
      <c r="C1389" s="137" t="s">
        <v>1004</v>
      </c>
      <c r="D1389" s="152"/>
      <c r="E1389" s="152"/>
      <c r="F1389" s="152"/>
      <c r="G1389" s="152"/>
      <c r="H1389" s="152"/>
      <c r="I1389" s="138"/>
      <c r="J1389" s="8"/>
    </row>
    <row r="1390" spans="1:10" s="1" customFormat="1" ht="25.5" customHeight="1" x14ac:dyDescent="0.2">
      <c r="A1390" s="8"/>
      <c r="B1390" s="9" t="s">
        <v>1005</v>
      </c>
      <c r="C1390" s="137" t="s">
        <v>1006</v>
      </c>
      <c r="D1390" s="152"/>
      <c r="E1390" s="152"/>
      <c r="F1390" s="152"/>
      <c r="G1390" s="152"/>
      <c r="H1390" s="152"/>
      <c r="I1390" s="138"/>
      <c r="J1390" s="8"/>
    </row>
    <row r="1391" spans="1:10" s="1" customFormat="1" ht="25.5" customHeight="1" x14ac:dyDescent="0.2">
      <c r="A1391" s="10">
        <v>4274</v>
      </c>
      <c r="B1391" s="11" t="s">
        <v>1007</v>
      </c>
      <c r="C1391" s="139" t="s">
        <v>1008</v>
      </c>
      <c r="D1391" s="140"/>
      <c r="E1391" s="11" t="s">
        <v>1009</v>
      </c>
      <c r="F1391" s="12">
        <v>1</v>
      </c>
      <c r="G1391" s="12">
        <v>72.459999999999994</v>
      </c>
      <c r="H1391" s="12">
        <v>92.45</v>
      </c>
      <c r="I1391" s="13">
        <f>F1391*G1391</f>
        <v>72.459999999999994</v>
      </c>
      <c r="J1391" s="13">
        <f>F1391*H1391</f>
        <v>92.45</v>
      </c>
    </row>
    <row r="1392" spans="1:10" s="1" customFormat="1" ht="25.5" customHeight="1" x14ac:dyDescent="0.2">
      <c r="A1392" s="36">
        <v>863</v>
      </c>
      <c r="B1392" s="11" t="s">
        <v>1010</v>
      </c>
      <c r="C1392" s="139" t="s">
        <v>1011</v>
      </c>
      <c r="D1392" s="140"/>
      <c r="E1392" s="11" t="s">
        <v>81</v>
      </c>
      <c r="F1392" s="12">
        <v>600</v>
      </c>
      <c r="G1392" s="12">
        <v>13.97</v>
      </c>
      <c r="H1392" s="12">
        <v>17.82</v>
      </c>
      <c r="I1392" s="13">
        <f>F1392*G1392</f>
        <v>8382</v>
      </c>
      <c r="J1392" s="13">
        <f>F1392*H1392</f>
        <v>10692</v>
      </c>
    </row>
    <row r="1393" spans="1:11" s="1" customFormat="1" ht="25.5" customHeight="1" x14ac:dyDescent="0.2">
      <c r="A1393" s="11" t="s">
        <v>1012</v>
      </c>
      <c r="B1393" s="11" t="s">
        <v>1013</v>
      </c>
      <c r="C1393" s="139" t="s">
        <v>1014</v>
      </c>
      <c r="D1393" s="140"/>
      <c r="E1393" s="11" t="s">
        <v>1009</v>
      </c>
      <c r="F1393" s="12">
        <v>12</v>
      </c>
      <c r="G1393" s="12">
        <v>61.88</v>
      </c>
      <c r="H1393" s="12">
        <v>78.959999999999994</v>
      </c>
      <c r="I1393" s="13">
        <f>F1393*G1393</f>
        <v>742.56000000000006</v>
      </c>
      <c r="J1393" s="13">
        <f>F1393*H1393</f>
        <v>947.52</v>
      </c>
    </row>
    <row r="1394" spans="1:11" s="1" customFormat="1" ht="25.5" customHeight="1" x14ac:dyDescent="0.2">
      <c r="A1394" s="8"/>
      <c r="B1394" s="9" t="s">
        <v>1015</v>
      </c>
      <c r="C1394" s="137" t="s">
        <v>1016</v>
      </c>
      <c r="D1394" s="138"/>
      <c r="E1394" s="8"/>
      <c r="F1394" s="8"/>
      <c r="G1394" s="8"/>
      <c r="H1394" s="8"/>
      <c r="I1394" s="8"/>
      <c r="J1394" s="8"/>
    </row>
    <row r="1395" spans="1:11" s="1" customFormat="1" ht="25.5" customHeight="1" x14ac:dyDescent="0.2">
      <c r="A1395" s="11" t="s">
        <v>308</v>
      </c>
      <c r="B1395" s="11" t="s">
        <v>1017</v>
      </c>
      <c r="C1395" s="139" t="s">
        <v>1018</v>
      </c>
      <c r="D1395" s="140"/>
      <c r="E1395" s="11" t="s">
        <v>1009</v>
      </c>
      <c r="F1395" s="12">
        <v>2</v>
      </c>
      <c r="G1395" s="12">
        <v>4.3899999999999997</v>
      </c>
      <c r="H1395" s="12">
        <v>5.6</v>
      </c>
      <c r="I1395" s="13">
        <f>F1395*G1395</f>
        <v>8.7799999999999994</v>
      </c>
      <c r="J1395" s="13">
        <f>F1395*H1395</f>
        <v>11.2</v>
      </c>
    </row>
    <row r="1396" spans="1:11" s="1" customFormat="1" ht="25.5" customHeight="1" x14ac:dyDescent="0.2">
      <c r="A1396" s="11" t="s">
        <v>1019</v>
      </c>
      <c r="B1396" s="11" t="s">
        <v>1020</v>
      </c>
      <c r="C1396" s="139" t="s">
        <v>1021</v>
      </c>
      <c r="D1396" s="140"/>
      <c r="E1396" s="11" t="s">
        <v>1009</v>
      </c>
      <c r="F1396" s="12">
        <v>40</v>
      </c>
      <c r="G1396" s="12">
        <v>5.64</v>
      </c>
      <c r="H1396" s="12">
        <v>7.2</v>
      </c>
      <c r="I1396" s="13">
        <f>F1396*G1396</f>
        <v>225.6</v>
      </c>
      <c r="J1396" s="13">
        <f>F1396*H1396</f>
        <v>288</v>
      </c>
    </row>
    <row r="1397" spans="1:11" s="1" customFormat="1" ht="25.5" customHeight="1" x14ac:dyDescent="0.2">
      <c r="A1397" s="11" t="s">
        <v>308</v>
      </c>
      <c r="B1397" s="11" t="s">
        <v>1022</v>
      </c>
      <c r="C1397" s="139" t="s">
        <v>1023</v>
      </c>
      <c r="D1397" s="140"/>
      <c r="E1397" s="11" t="s">
        <v>1009</v>
      </c>
      <c r="F1397" s="12">
        <v>76</v>
      </c>
      <c r="G1397" s="12">
        <v>1.84</v>
      </c>
      <c r="H1397" s="12">
        <v>2.34</v>
      </c>
      <c r="I1397" s="13">
        <f>F1397*G1397</f>
        <v>139.84</v>
      </c>
      <c r="J1397" s="13">
        <f>F1397*H1397</f>
        <v>177.83999999999997</v>
      </c>
    </row>
    <row r="1398" spans="1:11" s="1" customFormat="1" ht="25.5" customHeight="1" x14ac:dyDescent="0.2">
      <c r="A1398" s="11" t="s">
        <v>1024</v>
      </c>
      <c r="B1398" s="11" t="s">
        <v>1025</v>
      </c>
      <c r="C1398" s="139" t="s">
        <v>1026</v>
      </c>
      <c r="D1398" s="140"/>
      <c r="E1398" s="11" t="s">
        <v>1009</v>
      </c>
      <c r="F1398" s="12">
        <v>130</v>
      </c>
      <c r="G1398" s="12">
        <v>6.28</v>
      </c>
      <c r="H1398" s="12">
        <v>8.02</v>
      </c>
      <c r="I1398" s="13">
        <f>F1398*G1398</f>
        <v>816.4</v>
      </c>
      <c r="J1398" s="13">
        <f>F1398*H1398</f>
        <v>1042.5999999999999</v>
      </c>
    </row>
    <row r="1399" spans="1:11" s="1" customFormat="1" ht="25.5" customHeight="1" x14ac:dyDescent="0.2">
      <c r="A1399" s="8"/>
      <c r="B1399" s="9" t="s">
        <v>1027</v>
      </c>
      <c r="C1399" s="137" t="s">
        <v>1028</v>
      </c>
      <c r="D1399" s="138"/>
      <c r="E1399" s="8"/>
      <c r="F1399" s="8"/>
      <c r="G1399" s="8"/>
      <c r="H1399" s="8"/>
      <c r="I1399" s="8"/>
      <c r="J1399" s="8"/>
    </row>
    <row r="1400" spans="1:11" s="1" customFormat="1" ht="25.5" customHeight="1" x14ac:dyDescent="0.2">
      <c r="A1400" s="11" t="s">
        <v>1012</v>
      </c>
      <c r="B1400" s="11" t="s">
        <v>1029</v>
      </c>
      <c r="C1400" s="139" t="s">
        <v>1014</v>
      </c>
      <c r="D1400" s="140"/>
      <c r="E1400" s="11" t="s">
        <v>1009</v>
      </c>
      <c r="F1400" s="12">
        <v>34</v>
      </c>
      <c r="G1400" s="12">
        <v>61.88</v>
      </c>
      <c r="H1400" s="12">
        <v>78.959999999999994</v>
      </c>
      <c r="I1400" s="13">
        <f>F1400*G1400</f>
        <v>2103.92</v>
      </c>
      <c r="J1400" s="13">
        <f>F1400*H1400</f>
        <v>2684.64</v>
      </c>
    </row>
    <row r="1401" spans="1:11" s="1" customFormat="1" ht="25.5" customHeight="1" x14ac:dyDescent="0.2">
      <c r="A1401" s="8"/>
      <c r="B1401" s="9" t="s">
        <v>1030</v>
      </c>
      <c r="C1401" s="137" t="s">
        <v>1031</v>
      </c>
      <c r="D1401" s="138"/>
      <c r="E1401" s="8"/>
      <c r="F1401" s="8"/>
      <c r="G1401" s="8"/>
      <c r="H1401" s="8"/>
      <c r="I1401" s="8"/>
      <c r="J1401" s="8"/>
    </row>
    <row r="1402" spans="1:11" s="1" customFormat="1" ht="25.5" customHeight="1" x14ac:dyDescent="0.2">
      <c r="A1402" s="11" t="s">
        <v>1012</v>
      </c>
      <c r="B1402" s="11" t="s">
        <v>1032</v>
      </c>
      <c r="C1402" s="139" t="s">
        <v>1014</v>
      </c>
      <c r="D1402" s="140"/>
      <c r="E1402" s="11" t="s">
        <v>1009</v>
      </c>
      <c r="F1402" s="12">
        <v>43</v>
      </c>
      <c r="G1402" s="12">
        <v>61.88</v>
      </c>
      <c r="H1402" s="12">
        <v>78.959999999999994</v>
      </c>
      <c r="I1402" s="13">
        <f>F1402*G1402</f>
        <v>2660.84</v>
      </c>
      <c r="J1402" s="13">
        <f>F1402*H1402</f>
        <v>3395.2799999999997</v>
      </c>
    </row>
    <row r="1403" spans="1:11" s="1" customFormat="1" ht="25.5" customHeight="1" x14ac:dyDescent="0.2">
      <c r="A1403" s="11" t="s">
        <v>1033</v>
      </c>
      <c r="B1403" s="11" t="s">
        <v>1034</v>
      </c>
      <c r="C1403" s="139" t="s">
        <v>1035</v>
      </c>
      <c r="D1403" s="140"/>
      <c r="E1403" s="11" t="s">
        <v>1009</v>
      </c>
      <c r="F1403" s="12">
        <v>2</v>
      </c>
      <c r="G1403" s="12">
        <v>25.37</v>
      </c>
      <c r="H1403" s="12">
        <v>32.369999999999997</v>
      </c>
      <c r="I1403" s="13">
        <f>F1403*G1403</f>
        <v>50.74</v>
      </c>
      <c r="J1403" s="13">
        <f>F1403*H1403</f>
        <v>64.739999999999995</v>
      </c>
    </row>
    <row r="1404" spans="1:11" s="1" customFormat="1" ht="25.5" customHeight="1" x14ac:dyDescent="0.2">
      <c r="A1404" s="10">
        <v>72254</v>
      </c>
      <c r="B1404" s="11" t="s">
        <v>1036</v>
      </c>
      <c r="C1404" s="139" t="s">
        <v>1037</v>
      </c>
      <c r="D1404" s="140"/>
      <c r="E1404" s="11" t="s">
        <v>81</v>
      </c>
      <c r="F1404" s="12">
        <v>75</v>
      </c>
      <c r="G1404" s="12">
        <v>30.9</v>
      </c>
      <c r="H1404" s="12">
        <v>39.43</v>
      </c>
      <c r="I1404" s="13">
        <f>F1404*G1404</f>
        <v>2317.5</v>
      </c>
      <c r="J1404" s="13">
        <f>F1404*H1404</f>
        <v>2957.25</v>
      </c>
    </row>
    <row r="1405" spans="1:11" s="1" customFormat="1" ht="25.5" customHeight="1" x14ac:dyDescent="0.2">
      <c r="A1405" s="8"/>
      <c r="B1405" s="9" t="s">
        <v>1038</v>
      </c>
      <c r="C1405" s="137" t="s">
        <v>1039</v>
      </c>
      <c r="D1405" s="138"/>
      <c r="E1405" s="8"/>
      <c r="F1405" s="8"/>
      <c r="G1405" s="8"/>
      <c r="H1405" s="8"/>
      <c r="I1405" s="8"/>
      <c r="J1405" s="8"/>
    </row>
    <row r="1406" spans="1:11" s="1" customFormat="1" ht="25.5" customHeight="1" x14ac:dyDescent="0.2">
      <c r="A1406" s="11" t="s">
        <v>1040</v>
      </c>
      <c r="B1406" s="11" t="s">
        <v>1041</v>
      </c>
      <c r="C1406" s="139" t="s">
        <v>1042</v>
      </c>
      <c r="D1406" s="140"/>
      <c r="E1406" s="11" t="s">
        <v>1009</v>
      </c>
      <c r="F1406" s="12">
        <v>2</v>
      </c>
      <c r="G1406" s="12">
        <v>202.58</v>
      </c>
      <c r="H1406" s="12">
        <v>258.47000000000003</v>
      </c>
      <c r="I1406" s="13">
        <f>F1406*G1406</f>
        <v>405.16</v>
      </c>
      <c r="J1406" s="13">
        <f>F1406*H1406</f>
        <v>516.94000000000005</v>
      </c>
    </row>
    <row r="1407" spans="1:11" s="1" customFormat="1" ht="25.5" customHeight="1" x14ac:dyDescent="0.2">
      <c r="A1407" s="8"/>
      <c r="B1407" s="149" t="s">
        <v>1043</v>
      </c>
      <c r="C1407" s="150"/>
      <c r="D1407" s="150"/>
      <c r="E1407" s="150"/>
      <c r="F1407" s="150"/>
      <c r="G1407" s="151"/>
      <c r="H1407" s="8"/>
      <c r="I1407" s="18">
        <f>SUM(I1391:I1406)</f>
        <v>17925.8</v>
      </c>
      <c r="J1407" s="18">
        <f>SUM(J1391:J1406)</f>
        <v>22870.460000000003</v>
      </c>
    </row>
    <row r="1408" spans="1:11" s="1" customFormat="1" ht="25.5" customHeight="1" x14ac:dyDescent="0.2">
      <c r="A1408" s="8"/>
      <c r="B1408" s="149" t="s">
        <v>1044</v>
      </c>
      <c r="C1408" s="150"/>
      <c r="D1408" s="150"/>
      <c r="E1408" s="150"/>
      <c r="F1408" s="150"/>
      <c r="G1408" s="151"/>
      <c r="H1408" s="8"/>
      <c r="I1408" s="14">
        <f>SUM(I1254,I1258,I1266,I1271,I1285,I1301,I1316,I1330,I1348,I1357,I1372,I1380,I1388,I1407)-3.46</f>
        <v>112381.54000000001</v>
      </c>
      <c r="J1408" s="15">
        <f>SUM(J1254,J1258,J1266,J1271,J1285,J1301,J1316,J1330,J1348,J1357,J1372,J1380,J1388,J1407)+30.4</f>
        <v>143387.61000000002</v>
      </c>
      <c r="K1408" s="49"/>
    </row>
    <row r="1409" spans="1:10" s="1" customFormat="1" ht="25.5" customHeight="1" x14ac:dyDescent="0.2">
      <c r="A1409" s="8"/>
      <c r="B1409" s="9" t="s">
        <v>1045</v>
      </c>
      <c r="C1409" s="137" t="s">
        <v>1046</v>
      </c>
      <c r="D1409" s="138"/>
      <c r="E1409" s="8"/>
      <c r="F1409" s="8"/>
      <c r="G1409" s="8"/>
      <c r="H1409" s="8"/>
      <c r="I1409" s="8"/>
      <c r="J1409" s="8"/>
    </row>
    <row r="1410" spans="1:10" s="1" customFormat="1" ht="25.5" customHeight="1" x14ac:dyDescent="0.2">
      <c r="A1410" s="8"/>
      <c r="B1410" s="9" t="s">
        <v>1047</v>
      </c>
      <c r="C1410" s="137" t="s">
        <v>1048</v>
      </c>
      <c r="D1410" s="138"/>
      <c r="E1410" s="8"/>
      <c r="F1410" s="8"/>
      <c r="G1410" s="8"/>
      <c r="H1410" s="8"/>
      <c r="I1410" s="8"/>
      <c r="J1410" s="8"/>
    </row>
    <row r="1411" spans="1:10" s="1" customFormat="1" ht="25.5" customHeight="1" x14ac:dyDescent="0.2">
      <c r="A1411" s="10">
        <v>98302</v>
      </c>
      <c r="B1411" s="21">
        <v>44562</v>
      </c>
      <c r="C1411" s="139" t="s">
        <v>1049</v>
      </c>
      <c r="D1411" s="140"/>
      <c r="E1411" s="11" t="s">
        <v>102</v>
      </c>
      <c r="F1411" s="12">
        <v>4</v>
      </c>
      <c r="G1411" s="12">
        <v>683.89</v>
      </c>
      <c r="H1411" s="12">
        <v>872.58</v>
      </c>
      <c r="I1411" s="13">
        <f t="shared" ref="I1411:I1417" si="122">F1411*G1411</f>
        <v>2735.56</v>
      </c>
      <c r="J1411" s="13">
        <f t="shared" ref="J1411:J1417" si="123">F1411*H1411</f>
        <v>3490.32</v>
      </c>
    </row>
    <row r="1412" spans="1:10" s="1" customFormat="1" ht="25.5" customHeight="1" x14ac:dyDescent="0.2">
      <c r="A1412" s="11" t="s">
        <v>308</v>
      </c>
      <c r="B1412" s="21">
        <v>44563</v>
      </c>
      <c r="C1412" s="139" t="s">
        <v>1050</v>
      </c>
      <c r="D1412" s="140"/>
      <c r="E1412" s="11" t="s">
        <v>102</v>
      </c>
      <c r="F1412" s="12">
        <v>1</v>
      </c>
      <c r="G1412" s="12">
        <v>159.38</v>
      </c>
      <c r="H1412" s="12">
        <v>203.35</v>
      </c>
      <c r="I1412" s="13">
        <f t="shared" si="122"/>
        <v>159.38</v>
      </c>
      <c r="J1412" s="13">
        <f t="shared" si="123"/>
        <v>203.35</v>
      </c>
    </row>
    <row r="1413" spans="1:10" s="1" customFormat="1" ht="25.5" customHeight="1" x14ac:dyDescent="0.2">
      <c r="A1413" s="11" t="s">
        <v>1051</v>
      </c>
      <c r="B1413" s="21">
        <v>44564</v>
      </c>
      <c r="C1413" s="139" t="s">
        <v>1052</v>
      </c>
      <c r="D1413" s="140"/>
      <c r="E1413" s="11" t="s">
        <v>102</v>
      </c>
      <c r="F1413" s="12">
        <v>6</v>
      </c>
      <c r="G1413" s="12">
        <v>9.15</v>
      </c>
      <c r="H1413" s="12">
        <v>11.68</v>
      </c>
      <c r="I1413" s="13">
        <f t="shared" si="122"/>
        <v>54.900000000000006</v>
      </c>
      <c r="J1413" s="13">
        <f t="shared" si="123"/>
        <v>70.08</v>
      </c>
    </row>
    <row r="1414" spans="1:10" s="1" customFormat="1" ht="25.5" customHeight="1" x14ac:dyDescent="0.2">
      <c r="A1414" s="11" t="s">
        <v>1051</v>
      </c>
      <c r="B1414" s="21">
        <v>44565</v>
      </c>
      <c r="C1414" s="139" t="s">
        <v>1053</v>
      </c>
      <c r="D1414" s="140"/>
      <c r="E1414" s="11" t="s">
        <v>102</v>
      </c>
      <c r="F1414" s="12">
        <v>6</v>
      </c>
      <c r="G1414" s="12">
        <v>9.15</v>
      </c>
      <c r="H1414" s="12">
        <v>11.68</v>
      </c>
      <c r="I1414" s="13">
        <f t="shared" si="122"/>
        <v>54.900000000000006</v>
      </c>
      <c r="J1414" s="13">
        <f t="shared" si="123"/>
        <v>70.08</v>
      </c>
    </row>
    <row r="1415" spans="1:10" s="1" customFormat="1" ht="25.5" customHeight="1" x14ac:dyDescent="0.2">
      <c r="A1415" s="11" t="s">
        <v>308</v>
      </c>
      <c r="B1415" s="21">
        <v>44566</v>
      </c>
      <c r="C1415" s="139" t="s">
        <v>1054</v>
      </c>
      <c r="D1415" s="140"/>
      <c r="E1415" s="11" t="s">
        <v>102</v>
      </c>
      <c r="F1415" s="12">
        <v>6</v>
      </c>
      <c r="G1415" s="12">
        <v>84.99</v>
      </c>
      <c r="H1415" s="12">
        <v>108.44</v>
      </c>
      <c r="I1415" s="13">
        <f t="shared" si="122"/>
        <v>509.93999999999994</v>
      </c>
      <c r="J1415" s="13">
        <f t="shared" si="123"/>
        <v>650.64</v>
      </c>
    </row>
    <row r="1416" spans="1:10" s="1" customFormat="1" ht="25.5" customHeight="1" x14ac:dyDescent="0.2">
      <c r="A1416" s="11" t="s">
        <v>1051</v>
      </c>
      <c r="B1416" s="21">
        <v>44567</v>
      </c>
      <c r="C1416" s="139" t="s">
        <v>1055</v>
      </c>
      <c r="D1416" s="140"/>
      <c r="E1416" s="11" t="s">
        <v>102</v>
      </c>
      <c r="F1416" s="12">
        <v>2</v>
      </c>
      <c r="G1416" s="12">
        <v>9.15</v>
      </c>
      <c r="H1416" s="12">
        <v>11.68</v>
      </c>
      <c r="I1416" s="13">
        <f t="shared" si="122"/>
        <v>18.3</v>
      </c>
      <c r="J1416" s="13">
        <f t="shared" si="123"/>
        <v>23.36</v>
      </c>
    </row>
    <row r="1417" spans="1:10" s="1" customFormat="1" ht="25.5" customHeight="1" x14ac:dyDescent="0.2">
      <c r="A1417" s="11" t="s">
        <v>1051</v>
      </c>
      <c r="B1417" s="21">
        <v>44568</v>
      </c>
      <c r="C1417" s="139" t="s">
        <v>1056</v>
      </c>
      <c r="D1417" s="140"/>
      <c r="E1417" s="11" t="s">
        <v>102</v>
      </c>
      <c r="F1417" s="12">
        <v>1</v>
      </c>
      <c r="G1417" s="12">
        <v>9.15</v>
      </c>
      <c r="H1417" s="12">
        <v>11.68</v>
      </c>
      <c r="I1417" s="13">
        <f t="shared" si="122"/>
        <v>9.15</v>
      </c>
      <c r="J1417" s="13">
        <f t="shared" si="123"/>
        <v>11.68</v>
      </c>
    </row>
    <row r="1418" spans="1:10" s="1" customFormat="1" ht="25.5" customHeight="1" x14ac:dyDescent="0.2">
      <c r="A1418" s="8"/>
      <c r="B1418" s="9" t="s">
        <v>1057</v>
      </c>
      <c r="C1418" s="137" t="s">
        <v>1058</v>
      </c>
      <c r="D1418" s="138"/>
      <c r="E1418" s="8"/>
      <c r="F1418" s="8"/>
      <c r="G1418" s="8"/>
      <c r="H1418" s="8"/>
      <c r="I1418" s="8"/>
      <c r="J1418" s="8"/>
    </row>
    <row r="1419" spans="1:10" s="1" customFormat="1" ht="25.5" customHeight="1" x14ac:dyDescent="0.2">
      <c r="A1419" s="11" t="s">
        <v>308</v>
      </c>
      <c r="B1419" s="21">
        <v>44593</v>
      </c>
      <c r="C1419" s="139" t="s">
        <v>1059</v>
      </c>
      <c r="D1419" s="140"/>
      <c r="E1419" s="11" t="s">
        <v>81</v>
      </c>
      <c r="F1419" s="12">
        <v>890</v>
      </c>
      <c r="G1419" s="12">
        <v>2.84</v>
      </c>
      <c r="H1419" s="12">
        <v>3.62</v>
      </c>
      <c r="I1419" s="13">
        <f>F1419*G1419</f>
        <v>2527.6</v>
      </c>
      <c r="J1419" s="13">
        <f>F1419*H1419</f>
        <v>3221.8</v>
      </c>
    </row>
    <row r="1420" spans="1:10" s="1" customFormat="1" ht="25.5" customHeight="1" x14ac:dyDescent="0.2">
      <c r="A1420" s="10">
        <v>98268</v>
      </c>
      <c r="B1420" s="21">
        <v>44594</v>
      </c>
      <c r="C1420" s="139" t="s">
        <v>1060</v>
      </c>
      <c r="D1420" s="140"/>
      <c r="E1420" s="11" t="s">
        <v>81</v>
      </c>
      <c r="F1420" s="12">
        <v>8</v>
      </c>
      <c r="G1420" s="12">
        <v>10.48</v>
      </c>
      <c r="H1420" s="12">
        <v>13.37</v>
      </c>
      <c r="I1420" s="13">
        <f>F1420*G1420</f>
        <v>83.84</v>
      </c>
      <c r="J1420" s="13">
        <f>F1420*H1420</f>
        <v>106.96</v>
      </c>
    </row>
    <row r="1421" spans="1:10" s="1" customFormat="1" ht="25.5" customHeight="1" x14ac:dyDescent="0.2">
      <c r="A1421" s="8"/>
      <c r="B1421" s="9" t="s">
        <v>1061</v>
      </c>
      <c r="C1421" s="137" t="s">
        <v>1062</v>
      </c>
      <c r="D1421" s="138"/>
      <c r="E1421" s="8"/>
      <c r="F1421" s="8"/>
      <c r="G1421" s="8"/>
      <c r="H1421" s="8"/>
      <c r="I1421" s="8"/>
      <c r="J1421" s="8"/>
    </row>
    <row r="1422" spans="1:10" s="1" customFormat="1" ht="25.5" customHeight="1" x14ac:dyDescent="0.2">
      <c r="A1422" s="10">
        <v>39606</v>
      </c>
      <c r="B1422" s="21">
        <v>44621</v>
      </c>
      <c r="C1422" s="139" t="s">
        <v>1063</v>
      </c>
      <c r="D1422" s="140"/>
      <c r="E1422" s="11" t="s">
        <v>102</v>
      </c>
      <c r="F1422" s="12">
        <v>41</v>
      </c>
      <c r="G1422" s="12">
        <v>24.43</v>
      </c>
      <c r="H1422" s="12">
        <v>31.17</v>
      </c>
      <c r="I1422" s="13">
        <f>F1422*G1422</f>
        <v>1001.63</v>
      </c>
      <c r="J1422" s="13">
        <f>F1422*H1422</f>
        <v>1277.97</v>
      </c>
    </row>
    <row r="1423" spans="1:10" s="1" customFormat="1" ht="25.5" customHeight="1" x14ac:dyDescent="0.2">
      <c r="A1423" s="10">
        <v>39604</v>
      </c>
      <c r="B1423" s="21">
        <v>44622</v>
      </c>
      <c r="C1423" s="139" t="s">
        <v>1064</v>
      </c>
      <c r="D1423" s="140"/>
      <c r="E1423" s="11" t="s">
        <v>102</v>
      </c>
      <c r="F1423" s="12">
        <v>48</v>
      </c>
      <c r="G1423" s="12">
        <v>24.43</v>
      </c>
      <c r="H1423" s="12">
        <v>31.17</v>
      </c>
      <c r="I1423" s="13">
        <f>F1423*G1423</f>
        <v>1172.6399999999999</v>
      </c>
      <c r="J1423" s="13">
        <f>F1423*H1423</f>
        <v>1496.16</v>
      </c>
    </row>
    <row r="1424" spans="1:10" s="1" customFormat="1" ht="25.5" customHeight="1" x14ac:dyDescent="0.2">
      <c r="A1424" s="11" t="s">
        <v>308</v>
      </c>
      <c r="B1424" s="21">
        <v>44623</v>
      </c>
      <c r="C1424" s="139" t="s">
        <v>1065</v>
      </c>
      <c r="D1424" s="140"/>
      <c r="E1424" s="11" t="s">
        <v>102</v>
      </c>
      <c r="F1424" s="12">
        <v>35</v>
      </c>
      <c r="G1424" s="12">
        <v>24.43</v>
      </c>
      <c r="H1424" s="12">
        <v>31.17</v>
      </c>
      <c r="I1424" s="13">
        <f>F1424*G1424</f>
        <v>855.05</v>
      </c>
      <c r="J1424" s="13">
        <f>F1424*H1424</f>
        <v>1090.95</v>
      </c>
    </row>
    <row r="1425" spans="1:10" s="1" customFormat="1" ht="25.5" customHeight="1" x14ac:dyDescent="0.2">
      <c r="A1425" s="11" t="s">
        <v>308</v>
      </c>
      <c r="B1425" s="21">
        <v>44624</v>
      </c>
      <c r="C1425" s="139" t="s">
        <v>1066</v>
      </c>
      <c r="D1425" s="140"/>
      <c r="E1425" s="11" t="s">
        <v>102</v>
      </c>
      <c r="F1425" s="12">
        <v>15</v>
      </c>
      <c r="G1425" s="12">
        <v>24.43</v>
      </c>
      <c r="H1425" s="12">
        <v>31.17</v>
      </c>
      <c r="I1425" s="13">
        <f>F1425*G1425</f>
        <v>366.45</v>
      </c>
      <c r="J1425" s="13">
        <f>F1425*H1425</f>
        <v>467.55</v>
      </c>
    </row>
    <row r="1426" spans="1:10" s="1" customFormat="1" ht="25.5" customHeight="1" x14ac:dyDescent="0.2">
      <c r="A1426" s="8"/>
      <c r="B1426" s="9" t="s">
        <v>1067</v>
      </c>
      <c r="C1426" s="137" t="s">
        <v>977</v>
      </c>
      <c r="D1426" s="138"/>
      <c r="E1426" s="8"/>
      <c r="F1426" s="8"/>
      <c r="G1426" s="8"/>
      <c r="H1426" s="8"/>
      <c r="I1426" s="8"/>
      <c r="J1426" s="8"/>
    </row>
    <row r="1427" spans="1:10" s="1" customFormat="1" ht="25.5" customHeight="1" x14ac:dyDescent="0.2">
      <c r="A1427" s="11" t="s">
        <v>308</v>
      </c>
      <c r="B1427" s="21">
        <v>44652</v>
      </c>
      <c r="C1427" s="139" t="s">
        <v>1068</v>
      </c>
      <c r="D1427" s="140"/>
      <c r="E1427" s="11" t="s">
        <v>102</v>
      </c>
      <c r="F1427" s="12">
        <v>41</v>
      </c>
      <c r="G1427" s="12">
        <v>23.36</v>
      </c>
      <c r="H1427" s="12">
        <v>29.81</v>
      </c>
      <c r="I1427" s="13">
        <f>F1427*G1427</f>
        <v>957.76</v>
      </c>
      <c r="J1427" s="13">
        <f>F1427*H1427</f>
        <v>1222.21</v>
      </c>
    </row>
    <row r="1428" spans="1:10" s="1" customFormat="1" ht="25.5" customHeight="1" x14ac:dyDescent="0.2">
      <c r="A1428" s="11" t="s">
        <v>308</v>
      </c>
      <c r="B1428" s="21">
        <v>44653</v>
      </c>
      <c r="C1428" s="139" t="s">
        <v>1069</v>
      </c>
      <c r="D1428" s="140"/>
      <c r="E1428" s="11" t="s">
        <v>102</v>
      </c>
      <c r="F1428" s="12">
        <v>2</v>
      </c>
      <c r="G1428" s="12">
        <v>3.6</v>
      </c>
      <c r="H1428" s="12">
        <v>4.59</v>
      </c>
      <c r="I1428" s="13">
        <f>F1428*G1428</f>
        <v>7.2</v>
      </c>
      <c r="J1428" s="13">
        <f>F1428*H1428</f>
        <v>9.18</v>
      </c>
    </row>
    <row r="1429" spans="1:10" s="1" customFormat="1" ht="25.5" customHeight="1" x14ac:dyDescent="0.2">
      <c r="A1429" s="8"/>
      <c r="B1429" s="9" t="s">
        <v>1070</v>
      </c>
      <c r="C1429" s="137" t="s">
        <v>1071</v>
      </c>
      <c r="D1429" s="138"/>
      <c r="E1429" s="8"/>
      <c r="F1429" s="8"/>
      <c r="G1429" s="8"/>
      <c r="H1429" s="12"/>
      <c r="I1429" s="12"/>
      <c r="J1429" s="8"/>
    </row>
    <row r="1430" spans="1:10" s="1" customFormat="1" ht="25.5" customHeight="1" x14ac:dyDescent="0.2">
      <c r="A1430" s="10">
        <v>2559</v>
      </c>
      <c r="B1430" s="21">
        <v>44682</v>
      </c>
      <c r="C1430" s="139" t="s">
        <v>1072</v>
      </c>
      <c r="D1430" s="140"/>
      <c r="E1430" s="11" t="s">
        <v>102</v>
      </c>
      <c r="F1430" s="12">
        <v>2</v>
      </c>
      <c r="G1430" s="12">
        <v>8.5</v>
      </c>
      <c r="H1430" s="12">
        <v>10.85</v>
      </c>
      <c r="I1430" s="13">
        <f t="shared" ref="I1430:I1437" si="124">F1430*G1430</f>
        <v>17</v>
      </c>
      <c r="J1430" s="13">
        <f t="shared" ref="J1430:J1437" si="125">F1430*H1430</f>
        <v>21.7</v>
      </c>
    </row>
    <row r="1431" spans="1:10" s="1" customFormat="1" ht="25.5" customHeight="1" x14ac:dyDescent="0.2">
      <c r="A1431" s="11" t="s">
        <v>78</v>
      </c>
      <c r="B1431" s="21">
        <v>44683</v>
      </c>
      <c r="C1431" s="139" t="s">
        <v>1073</v>
      </c>
      <c r="D1431" s="140"/>
      <c r="E1431" s="11" t="s">
        <v>102</v>
      </c>
      <c r="F1431" s="12">
        <v>1</v>
      </c>
      <c r="G1431" s="12">
        <v>344.17</v>
      </c>
      <c r="H1431" s="12">
        <v>439.13</v>
      </c>
      <c r="I1431" s="13">
        <f t="shared" si="124"/>
        <v>344.17</v>
      </c>
      <c r="J1431" s="13">
        <f t="shared" si="125"/>
        <v>439.13</v>
      </c>
    </row>
    <row r="1432" spans="1:10" s="1" customFormat="1" ht="25.5" customHeight="1" x14ac:dyDescent="0.2">
      <c r="A1432" s="11" t="s">
        <v>78</v>
      </c>
      <c r="B1432" s="21">
        <v>44684</v>
      </c>
      <c r="C1432" s="139" t="s">
        <v>1074</v>
      </c>
      <c r="D1432" s="140"/>
      <c r="E1432" s="11" t="s">
        <v>102</v>
      </c>
      <c r="F1432" s="12">
        <v>2</v>
      </c>
      <c r="G1432" s="12">
        <v>191.15</v>
      </c>
      <c r="H1432" s="12">
        <v>243.89</v>
      </c>
      <c r="I1432" s="13">
        <f t="shared" si="124"/>
        <v>382.3</v>
      </c>
      <c r="J1432" s="13">
        <f t="shared" si="125"/>
        <v>487.78</v>
      </c>
    </row>
    <row r="1433" spans="1:10" s="1" customFormat="1" ht="25.5" customHeight="1" x14ac:dyDescent="0.2">
      <c r="A1433" s="11" t="s">
        <v>308</v>
      </c>
      <c r="B1433" s="21">
        <v>44685</v>
      </c>
      <c r="C1433" s="139" t="s">
        <v>1075</v>
      </c>
      <c r="D1433" s="140"/>
      <c r="E1433" s="11" t="s">
        <v>102</v>
      </c>
      <c r="F1433" s="12">
        <v>1</v>
      </c>
      <c r="G1433" s="12">
        <v>7.52</v>
      </c>
      <c r="H1433" s="12">
        <v>9.59</v>
      </c>
      <c r="I1433" s="13">
        <f t="shared" si="124"/>
        <v>7.52</v>
      </c>
      <c r="J1433" s="13">
        <f t="shared" si="125"/>
        <v>9.59</v>
      </c>
    </row>
    <row r="1434" spans="1:10" s="1" customFormat="1" ht="25.5" customHeight="1" x14ac:dyDescent="0.2">
      <c r="A1434" s="11" t="s">
        <v>308</v>
      </c>
      <c r="B1434" s="21">
        <v>44686</v>
      </c>
      <c r="C1434" s="139" t="s">
        <v>1076</v>
      </c>
      <c r="D1434" s="140"/>
      <c r="E1434" s="11" t="s">
        <v>102</v>
      </c>
      <c r="F1434" s="12">
        <v>13</v>
      </c>
      <c r="G1434" s="12">
        <v>8.4</v>
      </c>
      <c r="H1434" s="12">
        <v>10.72</v>
      </c>
      <c r="I1434" s="13">
        <f t="shared" si="124"/>
        <v>109.2</v>
      </c>
      <c r="J1434" s="13">
        <f t="shared" si="125"/>
        <v>139.36000000000001</v>
      </c>
    </row>
    <row r="1435" spans="1:10" s="1" customFormat="1" ht="25.5" customHeight="1" x14ac:dyDescent="0.2">
      <c r="A1435" s="11" t="s">
        <v>308</v>
      </c>
      <c r="B1435" s="21">
        <v>44687</v>
      </c>
      <c r="C1435" s="139" t="s">
        <v>1077</v>
      </c>
      <c r="D1435" s="140"/>
      <c r="E1435" s="11" t="s">
        <v>102</v>
      </c>
      <c r="F1435" s="12">
        <v>1</v>
      </c>
      <c r="G1435" s="12">
        <v>2.4900000000000002</v>
      </c>
      <c r="H1435" s="12">
        <v>3.18</v>
      </c>
      <c r="I1435" s="13">
        <f t="shared" si="124"/>
        <v>2.4900000000000002</v>
      </c>
      <c r="J1435" s="13">
        <f t="shared" si="125"/>
        <v>3.18</v>
      </c>
    </row>
    <row r="1436" spans="1:10" s="1" customFormat="1" ht="25.5" customHeight="1" x14ac:dyDescent="0.2">
      <c r="A1436" s="11" t="s">
        <v>308</v>
      </c>
      <c r="B1436" s="21">
        <v>44688</v>
      </c>
      <c r="C1436" s="139" t="s">
        <v>1078</v>
      </c>
      <c r="D1436" s="140"/>
      <c r="E1436" s="11" t="s">
        <v>102</v>
      </c>
      <c r="F1436" s="12">
        <v>1</v>
      </c>
      <c r="G1436" s="12">
        <v>2.46</v>
      </c>
      <c r="H1436" s="12">
        <v>3.14</v>
      </c>
      <c r="I1436" s="13">
        <f t="shared" si="124"/>
        <v>2.46</v>
      </c>
      <c r="J1436" s="13">
        <f t="shared" si="125"/>
        <v>3.14</v>
      </c>
    </row>
    <row r="1437" spans="1:10" s="1" customFormat="1" ht="25.5" customHeight="1" x14ac:dyDescent="0.2">
      <c r="A1437" s="11" t="s">
        <v>308</v>
      </c>
      <c r="B1437" s="21">
        <v>44689</v>
      </c>
      <c r="C1437" s="139" t="s">
        <v>1079</v>
      </c>
      <c r="D1437" s="140"/>
      <c r="E1437" s="11" t="s">
        <v>102</v>
      </c>
      <c r="F1437" s="12">
        <v>14</v>
      </c>
      <c r="G1437" s="12">
        <v>3.26</v>
      </c>
      <c r="H1437" s="12">
        <v>4.16</v>
      </c>
      <c r="I1437" s="13">
        <f t="shared" si="124"/>
        <v>45.64</v>
      </c>
      <c r="J1437" s="13">
        <f t="shared" si="125"/>
        <v>58.24</v>
      </c>
    </row>
    <row r="1438" spans="1:10" s="1" customFormat="1" ht="25.5" customHeight="1" x14ac:dyDescent="0.2">
      <c r="A1438" s="8"/>
      <c r="B1438" s="9" t="s">
        <v>1080</v>
      </c>
      <c r="C1438" s="137" t="s">
        <v>856</v>
      </c>
      <c r="D1438" s="138"/>
      <c r="E1438" s="8"/>
      <c r="F1438" s="8"/>
      <c r="G1438" s="8"/>
      <c r="H1438" s="8"/>
      <c r="I1438" s="8"/>
      <c r="J1438" s="8"/>
    </row>
    <row r="1439" spans="1:10" s="1" customFormat="1" ht="25.5" customHeight="1" x14ac:dyDescent="0.2">
      <c r="A1439" s="8"/>
      <c r="B1439" s="46"/>
      <c r="C1439" s="139" t="s">
        <v>1081</v>
      </c>
      <c r="D1439" s="140"/>
      <c r="E1439" s="8"/>
      <c r="F1439" s="8"/>
      <c r="G1439" s="8"/>
      <c r="H1439" s="8"/>
      <c r="I1439" s="8"/>
      <c r="J1439" s="8"/>
    </row>
    <row r="1440" spans="1:10" s="1" customFormat="1" ht="25.5" customHeight="1" x14ac:dyDescent="0.2">
      <c r="A1440" s="11" t="s">
        <v>308</v>
      </c>
      <c r="B1440" s="21">
        <v>44713</v>
      </c>
      <c r="C1440" s="139" t="s">
        <v>1082</v>
      </c>
      <c r="D1440" s="140"/>
      <c r="E1440" s="11" t="s">
        <v>81</v>
      </c>
      <c r="F1440" s="12">
        <v>1</v>
      </c>
      <c r="G1440" s="12">
        <v>9.9499999999999993</v>
      </c>
      <c r="H1440" s="12">
        <v>12.7</v>
      </c>
      <c r="I1440" s="13">
        <f>F1440*G1440</f>
        <v>9.9499999999999993</v>
      </c>
      <c r="J1440" s="13">
        <f>F1440*H1440</f>
        <v>12.7</v>
      </c>
    </row>
    <row r="1441" spans="1:10" s="1" customFormat="1" ht="25.5" customHeight="1" x14ac:dyDescent="0.2">
      <c r="A1441" s="11" t="s">
        <v>308</v>
      </c>
      <c r="B1441" s="21">
        <v>44714</v>
      </c>
      <c r="C1441" s="139" t="s">
        <v>1083</v>
      </c>
      <c r="D1441" s="140"/>
      <c r="E1441" s="11" t="s">
        <v>81</v>
      </c>
      <c r="F1441" s="12">
        <v>70</v>
      </c>
      <c r="G1441" s="12">
        <v>5.24</v>
      </c>
      <c r="H1441" s="12">
        <v>6.69</v>
      </c>
      <c r="I1441" s="13">
        <f>F1441*G1441</f>
        <v>366.8</v>
      </c>
      <c r="J1441" s="13">
        <f>F1441*H1441</f>
        <v>468.3</v>
      </c>
    </row>
    <row r="1442" spans="1:10" s="1" customFormat="1" ht="25.5" customHeight="1" x14ac:dyDescent="0.2">
      <c r="A1442" s="8"/>
      <c r="B1442" s="46"/>
      <c r="C1442" s="139" t="s">
        <v>1084</v>
      </c>
      <c r="D1442" s="140"/>
      <c r="E1442" s="8"/>
      <c r="F1442" s="8"/>
      <c r="G1442" s="8"/>
      <c r="H1442" s="12"/>
      <c r="I1442" s="12"/>
      <c r="J1442" s="8"/>
    </row>
    <row r="1443" spans="1:10" s="1" customFormat="1" ht="25.5" customHeight="1" x14ac:dyDescent="0.2">
      <c r="A1443" s="11" t="s">
        <v>308</v>
      </c>
      <c r="B1443" s="21">
        <v>44715</v>
      </c>
      <c r="C1443" s="139" t="s">
        <v>1083</v>
      </c>
      <c r="D1443" s="140"/>
      <c r="E1443" s="11" t="s">
        <v>81</v>
      </c>
      <c r="F1443" s="12">
        <v>10</v>
      </c>
      <c r="G1443" s="12">
        <v>12.83</v>
      </c>
      <c r="H1443" s="12">
        <v>16.37</v>
      </c>
      <c r="I1443" s="13">
        <f>F1443*G1443</f>
        <v>128.30000000000001</v>
      </c>
      <c r="J1443" s="13">
        <f>F1443*H1443</f>
        <v>163.70000000000002</v>
      </c>
    </row>
    <row r="1444" spans="1:10" s="1" customFormat="1" ht="25.5" customHeight="1" x14ac:dyDescent="0.2">
      <c r="A1444" s="8"/>
      <c r="B1444" s="46"/>
      <c r="C1444" s="139" t="s">
        <v>1085</v>
      </c>
      <c r="D1444" s="140"/>
      <c r="E1444" s="8"/>
      <c r="F1444" s="8"/>
      <c r="G1444" s="8"/>
      <c r="H1444" s="12"/>
      <c r="I1444" s="12"/>
      <c r="J1444" s="8"/>
    </row>
    <row r="1445" spans="1:10" s="1" customFormat="1" ht="25.5" customHeight="1" x14ac:dyDescent="0.2">
      <c r="A1445" s="11" t="s">
        <v>308</v>
      </c>
      <c r="B1445" s="21">
        <v>44716</v>
      </c>
      <c r="C1445" s="139" t="s">
        <v>1083</v>
      </c>
      <c r="D1445" s="140"/>
      <c r="E1445" s="11" t="s">
        <v>81</v>
      </c>
      <c r="F1445" s="12">
        <v>45</v>
      </c>
      <c r="G1445" s="12">
        <v>12.83</v>
      </c>
      <c r="H1445" s="12">
        <v>16.37</v>
      </c>
      <c r="I1445" s="13">
        <f>F1445*G1445</f>
        <v>577.35</v>
      </c>
      <c r="J1445" s="13">
        <f>F1445*H1445</f>
        <v>736.65000000000009</v>
      </c>
    </row>
    <row r="1446" spans="1:10" s="1" customFormat="1" ht="25.5" customHeight="1" x14ac:dyDescent="0.2">
      <c r="A1446" s="8"/>
      <c r="B1446" s="46"/>
      <c r="C1446" s="139" t="s">
        <v>1086</v>
      </c>
      <c r="D1446" s="140"/>
      <c r="E1446" s="8"/>
      <c r="F1446" s="8"/>
      <c r="G1446" s="8"/>
      <c r="H1446" s="12"/>
      <c r="I1446" s="12"/>
      <c r="J1446" s="8"/>
    </row>
    <row r="1447" spans="1:10" s="1" customFormat="1" ht="25.5" customHeight="1" x14ac:dyDescent="0.2">
      <c r="A1447" s="11" t="s">
        <v>308</v>
      </c>
      <c r="B1447" s="21">
        <v>44717</v>
      </c>
      <c r="C1447" s="139" t="s">
        <v>1087</v>
      </c>
      <c r="D1447" s="140"/>
      <c r="E1447" s="11" t="s">
        <v>81</v>
      </c>
      <c r="F1447" s="12">
        <v>10</v>
      </c>
      <c r="G1447" s="12">
        <v>6.65</v>
      </c>
      <c r="H1447" s="12">
        <v>8.48</v>
      </c>
      <c r="I1447" s="13">
        <f>F1447*G1447</f>
        <v>66.5</v>
      </c>
      <c r="J1447" s="13">
        <f>F1447*H1447</f>
        <v>84.800000000000011</v>
      </c>
    </row>
    <row r="1448" spans="1:10" s="1" customFormat="1" ht="25.5" customHeight="1" x14ac:dyDescent="0.2">
      <c r="A1448" s="8"/>
      <c r="B1448" s="46"/>
      <c r="C1448" s="139" t="s">
        <v>1088</v>
      </c>
      <c r="D1448" s="140"/>
      <c r="E1448" s="8"/>
      <c r="F1448" s="8"/>
      <c r="G1448" s="8"/>
      <c r="H1448" s="12"/>
      <c r="I1448" s="12"/>
      <c r="J1448" s="8"/>
    </row>
    <row r="1449" spans="1:10" s="1" customFormat="1" ht="25.5" customHeight="1" x14ac:dyDescent="0.2">
      <c r="A1449" s="11" t="s">
        <v>308</v>
      </c>
      <c r="B1449" s="21">
        <v>44718</v>
      </c>
      <c r="C1449" s="139" t="s">
        <v>1083</v>
      </c>
      <c r="D1449" s="140"/>
      <c r="E1449" s="11" t="s">
        <v>102</v>
      </c>
      <c r="F1449" s="12">
        <v>75</v>
      </c>
      <c r="G1449" s="12">
        <v>0.7</v>
      </c>
      <c r="H1449" s="12">
        <v>0.89</v>
      </c>
      <c r="I1449" s="13">
        <f t="shared" ref="I1449:I1454" si="126">F1449*G1449</f>
        <v>52.5</v>
      </c>
      <c r="J1449" s="13">
        <f t="shared" ref="J1449:J1454" si="127">F1449*H1449</f>
        <v>66.75</v>
      </c>
    </row>
    <row r="1450" spans="1:10" s="1" customFormat="1" ht="25.5" customHeight="1" x14ac:dyDescent="0.2">
      <c r="A1450" s="11" t="s">
        <v>308</v>
      </c>
      <c r="B1450" s="21">
        <v>44719</v>
      </c>
      <c r="C1450" s="139" t="s">
        <v>1089</v>
      </c>
      <c r="D1450" s="140"/>
      <c r="E1450" s="11" t="s">
        <v>102</v>
      </c>
      <c r="F1450" s="12">
        <v>75</v>
      </c>
      <c r="G1450" s="12">
        <v>6.95</v>
      </c>
      <c r="H1450" s="12">
        <v>8.8699999999999992</v>
      </c>
      <c r="I1450" s="13">
        <f t="shared" si="126"/>
        <v>521.25</v>
      </c>
      <c r="J1450" s="13">
        <f t="shared" si="127"/>
        <v>665.24999999999989</v>
      </c>
    </row>
    <row r="1451" spans="1:10" s="1" customFormat="1" ht="25.5" customHeight="1" x14ac:dyDescent="0.2">
      <c r="A1451" s="10">
        <v>4376</v>
      </c>
      <c r="B1451" s="21">
        <v>44720</v>
      </c>
      <c r="C1451" s="139" t="s">
        <v>1090</v>
      </c>
      <c r="D1451" s="140"/>
      <c r="E1451" s="11" t="s">
        <v>102</v>
      </c>
      <c r="F1451" s="12">
        <v>75</v>
      </c>
      <c r="G1451" s="12">
        <v>0.13</v>
      </c>
      <c r="H1451" s="12">
        <v>0.17</v>
      </c>
      <c r="I1451" s="13">
        <f t="shared" si="126"/>
        <v>9.75</v>
      </c>
      <c r="J1451" s="13">
        <f t="shared" si="127"/>
        <v>12.750000000000002</v>
      </c>
    </row>
    <row r="1452" spans="1:10" s="1" customFormat="1" ht="25.5" customHeight="1" x14ac:dyDescent="0.2">
      <c r="A1452" s="11" t="s">
        <v>308</v>
      </c>
      <c r="B1452" s="21">
        <v>44721</v>
      </c>
      <c r="C1452" s="139" t="s">
        <v>1091</v>
      </c>
      <c r="D1452" s="140"/>
      <c r="E1452" s="11" t="s">
        <v>102</v>
      </c>
      <c r="F1452" s="12">
        <v>75</v>
      </c>
      <c r="G1452" s="12">
        <v>0.32</v>
      </c>
      <c r="H1452" s="12">
        <v>0.41</v>
      </c>
      <c r="I1452" s="13">
        <f t="shared" si="126"/>
        <v>24</v>
      </c>
      <c r="J1452" s="13">
        <f t="shared" si="127"/>
        <v>30.749999999999996</v>
      </c>
    </row>
    <row r="1453" spans="1:10" s="1" customFormat="1" ht="25.5" customHeight="1" x14ac:dyDescent="0.2">
      <c r="A1453" s="11" t="s">
        <v>308</v>
      </c>
      <c r="B1453" s="34">
        <v>40351</v>
      </c>
      <c r="C1453" s="139" t="s">
        <v>1092</v>
      </c>
      <c r="D1453" s="140"/>
      <c r="E1453" s="11" t="s">
        <v>102</v>
      </c>
      <c r="F1453" s="12">
        <v>75</v>
      </c>
      <c r="G1453" s="12">
        <v>0.12</v>
      </c>
      <c r="H1453" s="12">
        <v>0.15</v>
      </c>
      <c r="I1453" s="13">
        <f t="shared" si="126"/>
        <v>9</v>
      </c>
      <c r="J1453" s="13">
        <f t="shared" si="127"/>
        <v>11.25</v>
      </c>
    </row>
    <row r="1454" spans="1:10" s="1" customFormat="1" ht="25.5" customHeight="1" x14ac:dyDescent="0.2">
      <c r="A1454" s="11" t="s">
        <v>308</v>
      </c>
      <c r="B1454" s="34">
        <v>40716</v>
      </c>
      <c r="C1454" s="139" t="s">
        <v>1093</v>
      </c>
      <c r="D1454" s="140"/>
      <c r="E1454" s="11" t="s">
        <v>102</v>
      </c>
      <c r="F1454" s="12">
        <v>100</v>
      </c>
      <c r="G1454" s="12">
        <v>0.09</v>
      </c>
      <c r="H1454" s="12">
        <v>0.11</v>
      </c>
      <c r="I1454" s="13">
        <f t="shared" si="126"/>
        <v>9</v>
      </c>
      <c r="J1454" s="13">
        <f t="shared" si="127"/>
        <v>11</v>
      </c>
    </row>
    <row r="1455" spans="1:10" s="1" customFormat="1" ht="25.5" customHeight="1" x14ac:dyDescent="0.2">
      <c r="A1455" s="8"/>
      <c r="B1455" s="9" t="s">
        <v>1094</v>
      </c>
      <c r="C1455" s="137" t="s">
        <v>1095</v>
      </c>
      <c r="D1455" s="152"/>
      <c r="E1455" s="152"/>
      <c r="F1455" s="152"/>
      <c r="G1455" s="152"/>
      <c r="H1455" s="152"/>
      <c r="I1455" s="138"/>
      <c r="J1455" s="8"/>
    </row>
    <row r="1456" spans="1:10" s="1" customFormat="1" ht="25.5" customHeight="1" x14ac:dyDescent="0.2">
      <c r="A1456" s="11" t="s">
        <v>78</v>
      </c>
      <c r="B1456" s="21">
        <v>44743</v>
      </c>
      <c r="C1456" s="139" t="s">
        <v>1096</v>
      </c>
      <c r="D1456" s="140"/>
      <c r="E1456" s="11" t="s">
        <v>102</v>
      </c>
      <c r="F1456" s="12">
        <v>12</v>
      </c>
      <c r="G1456" s="12">
        <v>79.47</v>
      </c>
      <c r="H1456" s="12">
        <v>101.4</v>
      </c>
      <c r="I1456" s="13">
        <f t="shared" ref="I1456:I1470" si="128">F1456*G1456</f>
        <v>953.64</v>
      </c>
      <c r="J1456" s="13">
        <f t="shared" ref="J1456:J1470" si="129">F1456*H1456</f>
        <v>1216.8000000000002</v>
      </c>
    </row>
    <row r="1457" spans="1:10" s="1" customFormat="1" ht="25.5" customHeight="1" x14ac:dyDescent="0.2">
      <c r="A1457" s="11" t="s">
        <v>308</v>
      </c>
      <c r="B1457" s="21">
        <v>44744</v>
      </c>
      <c r="C1457" s="139" t="s">
        <v>1097</v>
      </c>
      <c r="D1457" s="140"/>
      <c r="E1457" s="11" t="s">
        <v>102</v>
      </c>
      <c r="F1457" s="12">
        <v>6</v>
      </c>
      <c r="G1457" s="12">
        <v>20.45</v>
      </c>
      <c r="H1457" s="12">
        <v>26.09</v>
      </c>
      <c r="I1457" s="13">
        <f t="shared" si="128"/>
        <v>122.69999999999999</v>
      </c>
      <c r="J1457" s="13">
        <f t="shared" si="129"/>
        <v>156.54</v>
      </c>
    </row>
    <row r="1458" spans="1:10" s="1" customFormat="1" ht="25.5" customHeight="1" x14ac:dyDescent="0.2">
      <c r="A1458" s="11" t="s">
        <v>308</v>
      </c>
      <c r="B1458" s="21">
        <v>44745</v>
      </c>
      <c r="C1458" s="139" t="s">
        <v>1098</v>
      </c>
      <c r="D1458" s="140"/>
      <c r="E1458" s="11" t="s">
        <v>102</v>
      </c>
      <c r="F1458" s="12">
        <v>1</v>
      </c>
      <c r="G1458" s="12">
        <v>33.450000000000003</v>
      </c>
      <c r="H1458" s="12">
        <v>42.68</v>
      </c>
      <c r="I1458" s="13">
        <f t="shared" si="128"/>
        <v>33.450000000000003</v>
      </c>
      <c r="J1458" s="13">
        <f t="shared" si="129"/>
        <v>42.68</v>
      </c>
    </row>
    <row r="1459" spans="1:10" s="1" customFormat="1" ht="25.5" customHeight="1" x14ac:dyDescent="0.2">
      <c r="A1459" s="11" t="s">
        <v>308</v>
      </c>
      <c r="B1459" s="21">
        <v>44746</v>
      </c>
      <c r="C1459" s="139" t="s">
        <v>1099</v>
      </c>
      <c r="D1459" s="140"/>
      <c r="E1459" s="11" t="s">
        <v>102</v>
      </c>
      <c r="F1459" s="12">
        <v>2</v>
      </c>
      <c r="G1459" s="12">
        <v>23.95</v>
      </c>
      <c r="H1459" s="12">
        <v>30.56</v>
      </c>
      <c r="I1459" s="13">
        <f t="shared" si="128"/>
        <v>47.9</v>
      </c>
      <c r="J1459" s="13">
        <f t="shared" si="129"/>
        <v>61.12</v>
      </c>
    </row>
    <row r="1460" spans="1:10" s="1" customFormat="1" ht="25.5" customHeight="1" x14ac:dyDescent="0.2">
      <c r="A1460" s="11" t="s">
        <v>308</v>
      </c>
      <c r="B1460" s="21">
        <v>44747</v>
      </c>
      <c r="C1460" s="139" t="s">
        <v>1100</v>
      </c>
      <c r="D1460" s="140"/>
      <c r="E1460" s="11" t="s">
        <v>102</v>
      </c>
      <c r="F1460" s="12">
        <v>15</v>
      </c>
      <c r="G1460" s="12">
        <v>8.93</v>
      </c>
      <c r="H1460" s="12">
        <v>11.39</v>
      </c>
      <c r="I1460" s="13">
        <f t="shared" si="128"/>
        <v>133.94999999999999</v>
      </c>
      <c r="J1460" s="13">
        <f t="shared" si="129"/>
        <v>170.85000000000002</v>
      </c>
    </row>
    <row r="1461" spans="1:10" s="1" customFormat="1" ht="25.5" customHeight="1" x14ac:dyDescent="0.2">
      <c r="A1461" s="11" t="s">
        <v>308</v>
      </c>
      <c r="B1461" s="21">
        <v>44748</v>
      </c>
      <c r="C1461" s="139" t="s">
        <v>1101</v>
      </c>
      <c r="D1461" s="140"/>
      <c r="E1461" s="11" t="s">
        <v>102</v>
      </c>
      <c r="F1461" s="12">
        <v>4</v>
      </c>
      <c r="G1461" s="12">
        <v>8.1300000000000008</v>
      </c>
      <c r="H1461" s="12">
        <v>10.37</v>
      </c>
      <c r="I1461" s="13">
        <f t="shared" si="128"/>
        <v>32.520000000000003</v>
      </c>
      <c r="J1461" s="13">
        <f t="shared" si="129"/>
        <v>41.48</v>
      </c>
    </row>
    <row r="1462" spans="1:10" s="1" customFormat="1" ht="25.5" customHeight="1" x14ac:dyDescent="0.2">
      <c r="A1462" s="10">
        <v>89563</v>
      </c>
      <c r="B1462" s="21">
        <v>44749</v>
      </c>
      <c r="C1462" s="139" t="s">
        <v>1102</v>
      </c>
      <c r="D1462" s="140"/>
      <c r="E1462" s="11" t="s">
        <v>102</v>
      </c>
      <c r="F1462" s="12">
        <v>40</v>
      </c>
      <c r="G1462" s="12">
        <v>14.21</v>
      </c>
      <c r="H1462" s="12">
        <v>18.13</v>
      </c>
      <c r="I1462" s="13">
        <f t="shared" si="128"/>
        <v>568.40000000000009</v>
      </c>
      <c r="J1462" s="13">
        <f t="shared" si="129"/>
        <v>725.19999999999993</v>
      </c>
    </row>
    <row r="1463" spans="1:10" s="1" customFormat="1" ht="25.5" customHeight="1" x14ac:dyDescent="0.2">
      <c r="A1463" s="11" t="s">
        <v>308</v>
      </c>
      <c r="B1463" s="21">
        <v>44750</v>
      </c>
      <c r="C1463" s="139" t="s">
        <v>1103</v>
      </c>
      <c r="D1463" s="140"/>
      <c r="E1463" s="11" t="s">
        <v>102</v>
      </c>
      <c r="F1463" s="12">
        <v>20</v>
      </c>
      <c r="G1463" s="12">
        <v>33.74</v>
      </c>
      <c r="H1463" s="12">
        <v>43.05</v>
      </c>
      <c r="I1463" s="13">
        <f t="shared" si="128"/>
        <v>674.80000000000007</v>
      </c>
      <c r="J1463" s="13">
        <f t="shared" si="129"/>
        <v>861</v>
      </c>
    </row>
    <row r="1464" spans="1:10" s="1" customFormat="1" ht="25.5" customHeight="1" x14ac:dyDescent="0.2">
      <c r="A1464" s="11" t="s">
        <v>308</v>
      </c>
      <c r="B1464" s="21">
        <v>44751</v>
      </c>
      <c r="C1464" s="139" t="s">
        <v>1104</v>
      </c>
      <c r="D1464" s="140"/>
      <c r="E1464" s="11" t="s">
        <v>102</v>
      </c>
      <c r="F1464" s="12">
        <v>25</v>
      </c>
      <c r="G1464" s="12">
        <v>0.17</v>
      </c>
      <c r="H1464" s="12">
        <v>0.22</v>
      </c>
      <c r="I1464" s="13">
        <f t="shared" si="128"/>
        <v>4.25</v>
      </c>
      <c r="J1464" s="13">
        <f t="shared" si="129"/>
        <v>5.5</v>
      </c>
    </row>
    <row r="1465" spans="1:10" s="1" customFormat="1" ht="25.5" customHeight="1" x14ac:dyDescent="0.2">
      <c r="A1465" s="11" t="s">
        <v>308</v>
      </c>
      <c r="B1465" s="34">
        <v>40381</v>
      </c>
      <c r="C1465" s="139" t="s">
        <v>1105</v>
      </c>
      <c r="D1465" s="140"/>
      <c r="E1465" s="11" t="s">
        <v>102</v>
      </c>
      <c r="F1465" s="12">
        <v>160</v>
      </c>
      <c r="G1465" s="12">
        <v>0.19</v>
      </c>
      <c r="H1465" s="12">
        <v>0.24</v>
      </c>
      <c r="I1465" s="13">
        <f t="shared" si="128"/>
        <v>30.4</v>
      </c>
      <c r="J1465" s="13">
        <f t="shared" si="129"/>
        <v>38.4</v>
      </c>
    </row>
    <row r="1466" spans="1:10" s="1" customFormat="1" ht="25.5" customHeight="1" x14ac:dyDescent="0.2">
      <c r="A1466" s="11" t="s">
        <v>308</v>
      </c>
      <c r="B1466" s="34">
        <v>40746</v>
      </c>
      <c r="C1466" s="139" t="s">
        <v>1106</v>
      </c>
      <c r="D1466" s="140"/>
      <c r="E1466" s="11" t="s">
        <v>102</v>
      </c>
      <c r="F1466" s="12">
        <v>3</v>
      </c>
      <c r="G1466" s="12">
        <v>1.69</v>
      </c>
      <c r="H1466" s="12">
        <v>2.16</v>
      </c>
      <c r="I1466" s="13">
        <f t="shared" si="128"/>
        <v>5.07</v>
      </c>
      <c r="J1466" s="13">
        <f t="shared" si="129"/>
        <v>6.48</v>
      </c>
    </row>
    <row r="1467" spans="1:10" s="1" customFormat="1" ht="25.5" customHeight="1" x14ac:dyDescent="0.2">
      <c r="A1467" s="11" t="s">
        <v>308</v>
      </c>
      <c r="B1467" s="34">
        <v>41112</v>
      </c>
      <c r="C1467" s="139" t="s">
        <v>1107</v>
      </c>
      <c r="D1467" s="140"/>
      <c r="E1467" s="11" t="s">
        <v>102</v>
      </c>
      <c r="F1467" s="12">
        <v>25</v>
      </c>
      <c r="G1467" s="12">
        <v>1.54</v>
      </c>
      <c r="H1467" s="12">
        <v>1.96</v>
      </c>
      <c r="I1467" s="13">
        <f t="shared" si="128"/>
        <v>38.5</v>
      </c>
      <c r="J1467" s="13">
        <f t="shared" si="129"/>
        <v>49</v>
      </c>
    </row>
    <row r="1468" spans="1:10" s="1" customFormat="1" ht="25.5" customHeight="1" x14ac:dyDescent="0.2">
      <c r="A1468" s="11" t="s">
        <v>308</v>
      </c>
      <c r="B1468" s="34">
        <v>41477</v>
      </c>
      <c r="C1468" s="139" t="s">
        <v>1108</v>
      </c>
      <c r="D1468" s="140"/>
      <c r="E1468" s="11" t="s">
        <v>102</v>
      </c>
      <c r="F1468" s="12">
        <v>3</v>
      </c>
      <c r="G1468" s="12">
        <v>12.98</v>
      </c>
      <c r="H1468" s="12">
        <v>16.559999999999999</v>
      </c>
      <c r="I1468" s="13">
        <f t="shared" si="128"/>
        <v>38.94</v>
      </c>
      <c r="J1468" s="13">
        <f t="shared" si="129"/>
        <v>49.679999999999993</v>
      </c>
    </row>
    <row r="1469" spans="1:10" s="1" customFormat="1" ht="25.5" customHeight="1" x14ac:dyDescent="0.2">
      <c r="A1469" s="11" t="s">
        <v>308</v>
      </c>
      <c r="B1469" s="34">
        <v>41842</v>
      </c>
      <c r="C1469" s="139" t="s">
        <v>1109</v>
      </c>
      <c r="D1469" s="140"/>
      <c r="E1469" s="11" t="s">
        <v>102</v>
      </c>
      <c r="F1469" s="12">
        <v>300</v>
      </c>
      <c r="G1469" s="12">
        <v>0.09</v>
      </c>
      <c r="H1469" s="12">
        <v>0.11</v>
      </c>
      <c r="I1469" s="13">
        <f t="shared" si="128"/>
        <v>27</v>
      </c>
      <c r="J1469" s="13">
        <f t="shared" si="129"/>
        <v>33</v>
      </c>
    </row>
    <row r="1470" spans="1:10" s="1" customFormat="1" ht="25.5" customHeight="1" x14ac:dyDescent="0.2">
      <c r="A1470" s="11" t="s">
        <v>308</v>
      </c>
      <c r="B1470" s="34">
        <v>42207</v>
      </c>
      <c r="C1470" s="139" t="s">
        <v>1110</v>
      </c>
      <c r="D1470" s="140"/>
      <c r="E1470" s="11" t="s">
        <v>102</v>
      </c>
      <c r="F1470" s="12">
        <v>15</v>
      </c>
      <c r="G1470" s="12">
        <v>12.18</v>
      </c>
      <c r="H1470" s="12">
        <v>15.54</v>
      </c>
      <c r="I1470" s="13">
        <f t="shared" si="128"/>
        <v>182.7</v>
      </c>
      <c r="J1470" s="13">
        <f t="shared" si="129"/>
        <v>233.1</v>
      </c>
    </row>
    <row r="1471" spans="1:10" s="1" customFormat="1" ht="25.5" customHeight="1" x14ac:dyDescent="0.2">
      <c r="A1471" s="8"/>
      <c r="B1471" s="11" t="s">
        <v>1111</v>
      </c>
      <c r="C1471" s="137" t="s">
        <v>1112</v>
      </c>
      <c r="D1471" s="138"/>
      <c r="E1471" s="8"/>
      <c r="F1471" s="8"/>
      <c r="G1471" s="8"/>
      <c r="H1471" s="8"/>
      <c r="I1471" s="8"/>
      <c r="J1471" s="8"/>
    </row>
    <row r="1472" spans="1:10" s="1" customFormat="1" ht="25.5" customHeight="1" x14ac:dyDescent="0.2">
      <c r="A1472" s="11" t="s">
        <v>308</v>
      </c>
      <c r="B1472" s="21">
        <v>44774</v>
      </c>
      <c r="C1472" s="139" t="s">
        <v>1113</v>
      </c>
      <c r="D1472" s="140"/>
      <c r="E1472" s="11" t="s">
        <v>102</v>
      </c>
      <c r="F1472" s="12">
        <v>10</v>
      </c>
      <c r="G1472" s="12">
        <v>26.9</v>
      </c>
      <c r="H1472" s="12">
        <v>34.32</v>
      </c>
      <c r="I1472" s="13">
        <f t="shared" ref="I1472:I1478" si="130">F1472*G1472</f>
        <v>269</v>
      </c>
      <c r="J1472" s="13">
        <f t="shared" ref="J1472:J1478" si="131">F1472*H1472</f>
        <v>343.2</v>
      </c>
    </row>
    <row r="1473" spans="1:10" s="1" customFormat="1" ht="25.5" customHeight="1" x14ac:dyDescent="0.2">
      <c r="A1473" s="11" t="s">
        <v>308</v>
      </c>
      <c r="B1473" s="21">
        <v>44775</v>
      </c>
      <c r="C1473" s="139" t="s">
        <v>1114</v>
      </c>
      <c r="D1473" s="140"/>
      <c r="E1473" s="11" t="s">
        <v>102</v>
      </c>
      <c r="F1473" s="12">
        <v>10</v>
      </c>
      <c r="G1473" s="12">
        <v>15.67</v>
      </c>
      <c r="H1473" s="12">
        <v>19.989999999999998</v>
      </c>
      <c r="I1473" s="13">
        <f t="shared" si="130"/>
        <v>156.69999999999999</v>
      </c>
      <c r="J1473" s="13">
        <f t="shared" si="131"/>
        <v>199.89999999999998</v>
      </c>
    </row>
    <row r="1474" spans="1:10" s="1" customFormat="1" ht="25.5" customHeight="1" x14ac:dyDescent="0.2">
      <c r="A1474" s="11" t="s">
        <v>308</v>
      </c>
      <c r="B1474" s="21">
        <v>44776</v>
      </c>
      <c r="C1474" s="139" t="s">
        <v>1115</v>
      </c>
      <c r="D1474" s="140"/>
      <c r="E1474" s="11" t="s">
        <v>102</v>
      </c>
      <c r="F1474" s="12">
        <v>20</v>
      </c>
      <c r="G1474" s="12">
        <v>5.57</v>
      </c>
      <c r="H1474" s="12">
        <v>7.11</v>
      </c>
      <c r="I1474" s="13">
        <f t="shared" si="130"/>
        <v>111.4</v>
      </c>
      <c r="J1474" s="13">
        <f t="shared" si="131"/>
        <v>142.20000000000002</v>
      </c>
    </row>
    <row r="1475" spans="1:10" s="1" customFormat="1" ht="25.5" customHeight="1" x14ac:dyDescent="0.2">
      <c r="A1475" s="11" t="s">
        <v>308</v>
      </c>
      <c r="B1475" s="21">
        <v>44777</v>
      </c>
      <c r="C1475" s="139" t="s">
        <v>1116</v>
      </c>
      <c r="D1475" s="140"/>
      <c r="E1475" s="11" t="s">
        <v>102</v>
      </c>
      <c r="F1475" s="12">
        <v>2</v>
      </c>
      <c r="G1475" s="12">
        <v>7.1</v>
      </c>
      <c r="H1475" s="12">
        <v>9.06</v>
      </c>
      <c r="I1475" s="13">
        <f t="shared" si="130"/>
        <v>14.2</v>
      </c>
      <c r="J1475" s="13">
        <f t="shared" si="131"/>
        <v>18.12</v>
      </c>
    </row>
    <row r="1476" spans="1:10" s="1" customFormat="1" ht="25.5" customHeight="1" x14ac:dyDescent="0.2">
      <c r="A1476" s="11" t="s">
        <v>308</v>
      </c>
      <c r="B1476" s="21">
        <v>44778</v>
      </c>
      <c r="C1476" s="139" t="s">
        <v>1117</v>
      </c>
      <c r="D1476" s="140"/>
      <c r="E1476" s="11" t="s">
        <v>102</v>
      </c>
      <c r="F1476" s="12">
        <v>40</v>
      </c>
      <c r="G1476" s="12">
        <v>1.72</v>
      </c>
      <c r="H1476" s="12">
        <v>2.19</v>
      </c>
      <c r="I1476" s="13">
        <f t="shared" si="130"/>
        <v>68.8</v>
      </c>
      <c r="J1476" s="13">
        <f t="shared" si="131"/>
        <v>87.6</v>
      </c>
    </row>
    <row r="1477" spans="1:10" s="1" customFormat="1" ht="25.5" customHeight="1" x14ac:dyDescent="0.2">
      <c r="A1477" s="11" t="s">
        <v>308</v>
      </c>
      <c r="B1477" s="21">
        <v>44779</v>
      </c>
      <c r="C1477" s="139" t="s">
        <v>1118</v>
      </c>
      <c r="D1477" s="140"/>
      <c r="E1477" s="11" t="s">
        <v>102</v>
      </c>
      <c r="F1477" s="12">
        <v>4</v>
      </c>
      <c r="G1477" s="12">
        <v>2.33</v>
      </c>
      <c r="H1477" s="12">
        <v>2.97</v>
      </c>
      <c r="I1477" s="13">
        <f t="shared" si="130"/>
        <v>9.32</v>
      </c>
      <c r="J1477" s="13">
        <f t="shared" si="131"/>
        <v>11.88</v>
      </c>
    </row>
    <row r="1478" spans="1:10" s="1" customFormat="1" ht="25.5" customHeight="1" x14ac:dyDescent="0.2">
      <c r="A1478" s="11" t="s">
        <v>308</v>
      </c>
      <c r="B1478" s="21">
        <v>44780</v>
      </c>
      <c r="C1478" s="139" t="s">
        <v>1119</v>
      </c>
      <c r="D1478" s="140"/>
      <c r="E1478" s="11" t="s">
        <v>102</v>
      </c>
      <c r="F1478" s="12">
        <v>7</v>
      </c>
      <c r="G1478" s="12">
        <v>4.74</v>
      </c>
      <c r="H1478" s="12">
        <v>6.05</v>
      </c>
      <c r="I1478" s="13">
        <f t="shared" si="130"/>
        <v>33.18</v>
      </c>
      <c r="J1478" s="13">
        <f t="shared" si="131"/>
        <v>42.35</v>
      </c>
    </row>
    <row r="1479" spans="1:10" s="1" customFormat="1" ht="25.5" customHeight="1" x14ac:dyDescent="0.2">
      <c r="A1479" s="8"/>
      <c r="B1479" s="11" t="s">
        <v>1120</v>
      </c>
      <c r="C1479" s="137" t="s">
        <v>1121</v>
      </c>
      <c r="D1479" s="138"/>
      <c r="E1479" s="8"/>
      <c r="F1479" s="8"/>
      <c r="G1479" s="8"/>
      <c r="H1479" s="8"/>
      <c r="I1479" s="8"/>
      <c r="J1479" s="8"/>
    </row>
    <row r="1480" spans="1:10" s="1" customFormat="1" ht="25.5" customHeight="1" x14ac:dyDescent="0.2">
      <c r="A1480" s="11" t="s">
        <v>308</v>
      </c>
      <c r="B1480" s="21">
        <v>44805</v>
      </c>
      <c r="C1480" s="139" t="s">
        <v>1122</v>
      </c>
      <c r="D1480" s="140"/>
      <c r="E1480" s="11" t="s">
        <v>102</v>
      </c>
      <c r="F1480" s="12">
        <v>41</v>
      </c>
      <c r="G1480" s="12">
        <v>11.01</v>
      </c>
      <c r="H1480" s="12">
        <v>14.05</v>
      </c>
      <c r="I1480" s="13">
        <f>F1480*G1480</f>
        <v>451.40999999999997</v>
      </c>
      <c r="J1480" s="13">
        <f>F1480*H1480</f>
        <v>576.05000000000007</v>
      </c>
    </row>
    <row r="1481" spans="1:10" s="1" customFormat="1" ht="25.5" customHeight="1" x14ac:dyDescent="0.2">
      <c r="A1481" s="8"/>
      <c r="B1481" s="149" t="s">
        <v>1123</v>
      </c>
      <c r="C1481" s="150"/>
      <c r="D1481" s="150"/>
      <c r="E1481" s="150"/>
      <c r="F1481" s="150"/>
      <c r="G1481" s="151"/>
      <c r="H1481" s="8"/>
      <c r="I1481" s="14">
        <f>SUM(I1456:I1480,I1411:I1454)+0.05</f>
        <v>17207.759999999995</v>
      </c>
      <c r="J1481" s="15">
        <f>SUM(J1456:J1480,J1411:J1454)+4.9</f>
        <v>21955.340000000004</v>
      </c>
    </row>
    <row r="1482" spans="1:10" s="1" customFormat="1" ht="25.5" customHeight="1" x14ac:dyDescent="0.2">
      <c r="A1482" s="8"/>
      <c r="B1482" s="9" t="s">
        <v>1124</v>
      </c>
      <c r="C1482" s="137" t="s">
        <v>1125</v>
      </c>
      <c r="D1482" s="138"/>
      <c r="E1482" s="8"/>
      <c r="F1482" s="8"/>
      <c r="G1482" s="8"/>
      <c r="H1482" s="8"/>
      <c r="I1482" s="8"/>
      <c r="J1482" s="8"/>
    </row>
    <row r="1483" spans="1:10" s="1" customFormat="1" ht="25.5" customHeight="1" x14ac:dyDescent="0.2">
      <c r="A1483" s="8"/>
      <c r="B1483" s="9" t="s">
        <v>1126</v>
      </c>
      <c r="C1483" s="137" t="s">
        <v>684</v>
      </c>
      <c r="D1483" s="138"/>
      <c r="E1483" s="8"/>
      <c r="F1483" s="8"/>
      <c r="G1483" s="8"/>
      <c r="H1483" s="8"/>
      <c r="I1483" s="8"/>
      <c r="J1483" s="8"/>
    </row>
    <row r="1484" spans="1:10" s="1" customFormat="1" ht="25.5" customHeight="1" x14ac:dyDescent="0.2">
      <c r="A1484" s="11" t="s">
        <v>308</v>
      </c>
      <c r="B1484" s="21">
        <v>44927</v>
      </c>
      <c r="C1484" s="139" t="s">
        <v>1127</v>
      </c>
      <c r="D1484" s="140"/>
      <c r="E1484" s="11" t="s">
        <v>102</v>
      </c>
      <c r="F1484" s="12">
        <v>1</v>
      </c>
      <c r="G1484" s="12">
        <v>419.11</v>
      </c>
      <c r="H1484" s="12">
        <v>534.74</v>
      </c>
      <c r="I1484" s="13">
        <f>F1484*G1484</f>
        <v>419.11</v>
      </c>
      <c r="J1484" s="13">
        <f>F1484*H1484</f>
        <v>534.74</v>
      </c>
    </row>
    <row r="1485" spans="1:10" s="1" customFormat="1" ht="25.5" customHeight="1" x14ac:dyDescent="0.2">
      <c r="A1485" s="11" t="s">
        <v>308</v>
      </c>
      <c r="B1485" s="21">
        <v>44928</v>
      </c>
      <c r="C1485" s="139" t="s">
        <v>1128</v>
      </c>
      <c r="D1485" s="140"/>
      <c r="E1485" s="11" t="s">
        <v>102</v>
      </c>
      <c r="F1485" s="12">
        <v>1</v>
      </c>
      <c r="G1485" s="12">
        <v>385</v>
      </c>
      <c r="H1485" s="12">
        <v>491.22</v>
      </c>
      <c r="I1485" s="13">
        <f>F1485*G1485</f>
        <v>385</v>
      </c>
      <c r="J1485" s="13">
        <f>F1485*H1485</f>
        <v>491.22</v>
      </c>
    </row>
    <row r="1486" spans="1:10" s="1" customFormat="1" ht="25.5" customHeight="1" x14ac:dyDescent="0.2">
      <c r="A1486" s="11" t="s">
        <v>308</v>
      </c>
      <c r="B1486" s="21">
        <v>44929</v>
      </c>
      <c r="C1486" s="139" t="s">
        <v>1129</v>
      </c>
      <c r="D1486" s="140"/>
      <c r="E1486" s="11" t="s">
        <v>102</v>
      </c>
      <c r="F1486" s="12">
        <v>1</v>
      </c>
      <c r="G1486" s="12">
        <v>250</v>
      </c>
      <c r="H1486" s="12">
        <v>318.98</v>
      </c>
      <c r="I1486" s="13">
        <f>F1486*G1486</f>
        <v>250</v>
      </c>
      <c r="J1486" s="13">
        <f>F1486*H1486</f>
        <v>318.98</v>
      </c>
    </row>
    <row r="1487" spans="1:10" s="1" customFormat="1" ht="25.5" customHeight="1" x14ac:dyDescent="0.2">
      <c r="A1487" s="8"/>
      <c r="B1487" s="149" t="s">
        <v>1130</v>
      </c>
      <c r="C1487" s="150"/>
      <c r="D1487" s="150"/>
      <c r="E1487" s="150"/>
      <c r="F1487" s="150"/>
      <c r="G1487" s="151"/>
      <c r="H1487" s="8"/>
      <c r="I1487" s="18">
        <f>SUM(I1484:I1486)</f>
        <v>1054.1100000000001</v>
      </c>
      <c r="J1487" s="18">
        <f>SUM(J1484:J1486)</f>
        <v>1344.94</v>
      </c>
    </row>
    <row r="1488" spans="1:10" s="1" customFormat="1" ht="25.5" customHeight="1" x14ac:dyDescent="0.2">
      <c r="A1488" s="8"/>
      <c r="B1488" s="9" t="s">
        <v>1131</v>
      </c>
      <c r="C1488" s="137" t="s">
        <v>1132</v>
      </c>
      <c r="D1488" s="138"/>
      <c r="E1488" s="8"/>
      <c r="F1488" s="8"/>
      <c r="G1488" s="8"/>
      <c r="H1488" s="8"/>
      <c r="I1488" s="8"/>
      <c r="J1488" s="8"/>
    </row>
    <row r="1489" spans="1:10" s="1" customFormat="1" ht="25.5" customHeight="1" x14ac:dyDescent="0.2">
      <c r="A1489" s="8"/>
      <c r="B1489" s="23">
        <v>44958</v>
      </c>
      <c r="C1489" s="137" t="s">
        <v>1133</v>
      </c>
      <c r="D1489" s="138"/>
      <c r="E1489" s="8"/>
      <c r="F1489" s="8"/>
      <c r="G1489" s="8"/>
      <c r="H1489" s="8"/>
      <c r="I1489" s="8"/>
      <c r="J1489" s="8"/>
    </row>
    <row r="1490" spans="1:10" s="1" customFormat="1" ht="25.5" customHeight="1" x14ac:dyDescent="0.2">
      <c r="A1490" s="11" t="s">
        <v>308</v>
      </c>
      <c r="B1490" s="11" t="s">
        <v>1134</v>
      </c>
      <c r="C1490" s="139" t="s">
        <v>1175</v>
      </c>
      <c r="D1490" s="140"/>
      <c r="E1490" s="11" t="s">
        <v>35</v>
      </c>
      <c r="F1490" s="12">
        <v>8</v>
      </c>
      <c r="G1490" s="12">
        <v>15.25</v>
      </c>
      <c r="H1490" s="12">
        <v>19.46</v>
      </c>
      <c r="I1490" s="13">
        <f t="shared" ref="I1490:I1495" si="132">F1490*G1490</f>
        <v>122</v>
      </c>
      <c r="J1490" s="13">
        <f t="shared" ref="J1490:J1495" si="133">F1490*H1490</f>
        <v>155.68</v>
      </c>
    </row>
    <row r="1491" spans="1:10" s="1" customFormat="1" ht="25.5" customHeight="1" x14ac:dyDescent="0.2">
      <c r="A1491" s="11" t="s">
        <v>308</v>
      </c>
      <c r="B1491" s="11" t="s">
        <v>1135</v>
      </c>
      <c r="C1491" s="139" t="s">
        <v>1176</v>
      </c>
      <c r="D1491" s="140"/>
      <c r="E1491" s="11" t="s">
        <v>35</v>
      </c>
      <c r="F1491" s="12">
        <v>16</v>
      </c>
      <c r="G1491" s="12">
        <v>21.01</v>
      </c>
      <c r="H1491" s="12">
        <v>26.81</v>
      </c>
      <c r="I1491" s="13">
        <f t="shared" si="132"/>
        <v>336.16</v>
      </c>
      <c r="J1491" s="13">
        <f t="shared" si="133"/>
        <v>428.96</v>
      </c>
    </row>
    <row r="1492" spans="1:10" s="1" customFormat="1" ht="25.5" customHeight="1" x14ac:dyDescent="0.2">
      <c r="A1492" s="11" t="s">
        <v>308</v>
      </c>
      <c r="B1492" s="11" t="s">
        <v>1136</v>
      </c>
      <c r="C1492" s="139" t="s">
        <v>1137</v>
      </c>
      <c r="D1492" s="140"/>
      <c r="E1492" s="11" t="s">
        <v>102</v>
      </c>
      <c r="F1492" s="12">
        <v>1</v>
      </c>
      <c r="G1492" s="12">
        <v>64.55</v>
      </c>
      <c r="H1492" s="12">
        <v>82.36</v>
      </c>
      <c r="I1492" s="13">
        <f t="shared" si="132"/>
        <v>64.55</v>
      </c>
      <c r="J1492" s="13">
        <f t="shared" si="133"/>
        <v>82.36</v>
      </c>
    </row>
    <row r="1493" spans="1:10" s="1" customFormat="1" ht="25.5" customHeight="1" x14ac:dyDescent="0.2">
      <c r="A1493" s="11" t="s">
        <v>308</v>
      </c>
      <c r="B1493" s="11" t="s">
        <v>1138</v>
      </c>
      <c r="C1493" s="139" t="s">
        <v>1139</v>
      </c>
      <c r="D1493" s="140"/>
      <c r="E1493" s="11" t="s">
        <v>102</v>
      </c>
      <c r="F1493" s="12">
        <v>2</v>
      </c>
      <c r="G1493" s="12">
        <v>46.92</v>
      </c>
      <c r="H1493" s="12">
        <v>59.87</v>
      </c>
      <c r="I1493" s="13">
        <f t="shared" si="132"/>
        <v>93.84</v>
      </c>
      <c r="J1493" s="13">
        <f t="shared" si="133"/>
        <v>119.74</v>
      </c>
    </row>
    <row r="1494" spans="1:10" s="1" customFormat="1" ht="25.5" customHeight="1" x14ac:dyDescent="0.2">
      <c r="A1494" s="11" t="s">
        <v>308</v>
      </c>
      <c r="B1494" s="11" t="s">
        <v>1140</v>
      </c>
      <c r="C1494" s="139" t="s">
        <v>1141</v>
      </c>
      <c r="D1494" s="140"/>
      <c r="E1494" s="11" t="s">
        <v>102</v>
      </c>
      <c r="F1494" s="12">
        <v>2</v>
      </c>
      <c r="G1494" s="12">
        <v>63.34</v>
      </c>
      <c r="H1494" s="12">
        <v>80.819999999999993</v>
      </c>
      <c r="I1494" s="13">
        <f t="shared" si="132"/>
        <v>126.68</v>
      </c>
      <c r="J1494" s="13">
        <f t="shared" si="133"/>
        <v>161.63999999999999</v>
      </c>
    </row>
    <row r="1495" spans="1:10" s="1" customFormat="1" ht="25.5" customHeight="1" x14ac:dyDescent="0.2">
      <c r="A1495" s="11" t="s">
        <v>308</v>
      </c>
      <c r="B1495" s="11" t="s">
        <v>1142</v>
      </c>
      <c r="C1495" s="139" t="s">
        <v>1143</v>
      </c>
      <c r="D1495" s="140"/>
      <c r="E1495" s="11" t="s">
        <v>102</v>
      </c>
      <c r="F1495" s="12">
        <v>1</v>
      </c>
      <c r="G1495" s="12">
        <v>112.15</v>
      </c>
      <c r="H1495" s="12">
        <v>143.09</v>
      </c>
      <c r="I1495" s="13">
        <f t="shared" si="132"/>
        <v>112.15</v>
      </c>
      <c r="J1495" s="13">
        <f t="shared" si="133"/>
        <v>143.09</v>
      </c>
    </row>
    <row r="1496" spans="1:10" s="1" customFormat="1" ht="25.5" customHeight="1" x14ac:dyDescent="0.2">
      <c r="A1496" s="8"/>
      <c r="B1496" s="23">
        <v>44959</v>
      </c>
      <c r="C1496" s="137" t="s">
        <v>1144</v>
      </c>
      <c r="D1496" s="138"/>
      <c r="E1496" s="8"/>
      <c r="F1496" s="8"/>
      <c r="G1496" s="8"/>
      <c r="H1496" s="8"/>
      <c r="I1496" s="8"/>
      <c r="J1496" s="12"/>
    </row>
    <row r="1497" spans="1:10" s="1" customFormat="1" ht="25.5" customHeight="1" x14ac:dyDescent="0.2">
      <c r="A1497" s="11" t="s">
        <v>308</v>
      </c>
      <c r="B1497" s="11" t="s">
        <v>1145</v>
      </c>
      <c r="C1497" s="139" t="s">
        <v>1146</v>
      </c>
      <c r="D1497" s="140"/>
      <c r="E1497" s="11" t="s">
        <v>102</v>
      </c>
      <c r="F1497" s="12">
        <v>1</v>
      </c>
      <c r="G1497" s="12">
        <v>649.99</v>
      </c>
      <c r="H1497" s="12">
        <v>829.32</v>
      </c>
      <c r="I1497" s="13">
        <f t="shared" ref="I1497:I1502" si="134">F1497*G1497</f>
        <v>649.99</v>
      </c>
      <c r="J1497" s="13">
        <f t="shared" ref="J1497:J1502" si="135">F1497*H1497</f>
        <v>829.32</v>
      </c>
    </row>
    <row r="1498" spans="1:10" s="1" customFormat="1" ht="25.5" customHeight="1" x14ac:dyDescent="0.2">
      <c r="A1498" s="8"/>
      <c r="B1498" s="23">
        <v>44960</v>
      </c>
      <c r="C1498" s="137" t="s">
        <v>684</v>
      </c>
      <c r="D1498" s="138"/>
      <c r="E1498" s="8"/>
      <c r="F1498" s="8"/>
      <c r="G1498" s="8"/>
      <c r="H1498" s="12">
        <v>0</v>
      </c>
      <c r="I1498" s="13">
        <f t="shared" si="134"/>
        <v>0</v>
      </c>
      <c r="J1498" s="13">
        <f t="shared" si="135"/>
        <v>0</v>
      </c>
    </row>
    <row r="1499" spans="1:10" s="1" customFormat="1" ht="25.5" customHeight="1" x14ac:dyDescent="0.2">
      <c r="A1499" s="11" t="s">
        <v>308</v>
      </c>
      <c r="B1499" s="11" t="s">
        <v>1147</v>
      </c>
      <c r="C1499" s="139" t="s">
        <v>1148</v>
      </c>
      <c r="D1499" s="140"/>
      <c r="E1499" s="11" t="s">
        <v>102</v>
      </c>
      <c r="F1499" s="12">
        <v>3</v>
      </c>
      <c r="G1499" s="12">
        <v>33.46</v>
      </c>
      <c r="H1499" s="12">
        <v>42.69</v>
      </c>
      <c r="I1499" s="13">
        <f t="shared" si="134"/>
        <v>100.38</v>
      </c>
      <c r="J1499" s="13">
        <f t="shared" si="135"/>
        <v>128.07</v>
      </c>
    </row>
    <row r="1500" spans="1:10" s="1" customFormat="1" ht="25.5" customHeight="1" x14ac:dyDescent="0.2">
      <c r="A1500" s="11" t="s">
        <v>308</v>
      </c>
      <c r="B1500" s="11" t="s">
        <v>1149</v>
      </c>
      <c r="C1500" s="139" t="s">
        <v>1150</v>
      </c>
      <c r="D1500" s="140"/>
      <c r="E1500" s="11" t="s">
        <v>102</v>
      </c>
      <c r="F1500" s="12">
        <v>3</v>
      </c>
      <c r="G1500" s="12">
        <v>21.01</v>
      </c>
      <c r="H1500" s="12">
        <v>26.81</v>
      </c>
      <c r="I1500" s="13">
        <f t="shared" si="134"/>
        <v>63.03</v>
      </c>
      <c r="J1500" s="13">
        <f t="shared" si="135"/>
        <v>80.429999999999993</v>
      </c>
    </row>
    <row r="1501" spans="1:10" s="1" customFormat="1" ht="25.5" customHeight="1" x14ac:dyDescent="0.2">
      <c r="A1501" s="11" t="s">
        <v>308</v>
      </c>
      <c r="B1501" s="11" t="s">
        <v>1151</v>
      </c>
      <c r="C1501" s="139" t="s">
        <v>1152</v>
      </c>
      <c r="D1501" s="140"/>
      <c r="E1501" s="11" t="s">
        <v>102</v>
      </c>
      <c r="F1501" s="12">
        <v>2</v>
      </c>
      <c r="G1501" s="12">
        <v>33.46</v>
      </c>
      <c r="H1501" s="12">
        <v>42.69</v>
      </c>
      <c r="I1501" s="13">
        <f t="shared" si="134"/>
        <v>66.92</v>
      </c>
      <c r="J1501" s="13">
        <f t="shared" si="135"/>
        <v>85.38</v>
      </c>
    </row>
    <row r="1502" spans="1:10" s="1" customFormat="1" ht="25.5" customHeight="1" x14ac:dyDescent="0.2">
      <c r="A1502" s="11" t="s">
        <v>308</v>
      </c>
      <c r="B1502" s="11" t="s">
        <v>1153</v>
      </c>
      <c r="C1502" s="139" t="s">
        <v>1154</v>
      </c>
      <c r="D1502" s="140"/>
      <c r="E1502" s="11" t="s">
        <v>81</v>
      </c>
      <c r="F1502" s="12">
        <v>3</v>
      </c>
      <c r="G1502" s="12">
        <v>9.4</v>
      </c>
      <c r="H1502" s="12">
        <v>11.99</v>
      </c>
      <c r="I1502" s="13">
        <f t="shared" si="134"/>
        <v>28.200000000000003</v>
      </c>
      <c r="J1502" s="13">
        <f t="shared" si="135"/>
        <v>35.97</v>
      </c>
    </row>
    <row r="1503" spans="1:10" s="1" customFormat="1" ht="25.5" customHeight="1" x14ac:dyDescent="0.2">
      <c r="A1503" s="8"/>
      <c r="B1503" s="149" t="s">
        <v>1155</v>
      </c>
      <c r="C1503" s="150"/>
      <c r="D1503" s="150"/>
      <c r="E1503" s="150"/>
      <c r="F1503" s="150"/>
      <c r="G1503" s="151"/>
      <c r="H1503" s="8"/>
      <c r="I1503" s="18">
        <f>SUM(I1490:I1502)</f>
        <v>1763.9</v>
      </c>
      <c r="J1503" s="18">
        <f>SUM(J1490:J1502)</f>
        <v>2250.64</v>
      </c>
    </row>
    <row r="1504" spans="1:10" s="1" customFormat="1" ht="25.5" customHeight="1" x14ac:dyDescent="0.2">
      <c r="A1504" s="8"/>
      <c r="B1504" s="149" t="s">
        <v>1156</v>
      </c>
      <c r="C1504" s="150"/>
      <c r="D1504" s="150"/>
      <c r="E1504" s="150"/>
      <c r="F1504" s="150"/>
      <c r="G1504" s="151"/>
      <c r="H1504" s="8"/>
      <c r="I1504" s="14">
        <f>SUM(I1487,I1503)</f>
        <v>2818.01</v>
      </c>
      <c r="J1504" s="15">
        <f>SUM(J1487,J1503)-0.08</f>
        <v>3595.5</v>
      </c>
    </row>
    <row r="1505" spans="1:10" s="1" customFormat="1" ht="25.5" customHeight="1" x14ac:dyDescent="0.2">
      <c r="A1505" s="8"/>
      <c r="B1505" s="9" t="s">
        <v>1157</v>
      </c>
      <c r="C1505" s="137" t="s">
        <v>1158</v>
      </c>
      <c r="D1505" s="138"/>
      <c r="E1505" s="8"/>
      <c r="F1505" s="8"/>
      <c r="G1505" s="8"/>
      <c r="H1505" s="8"/>
      <c r="I1505" s="8"/>
      <c r="J1505" s="8"/>
    </row>
    <row r="1506" spans="1:10" s="1" customFormat="1" ht="25.5" customHeight="1" x14ac:dyDescent="0.2">
      <c r="A1506" s="8"/>
      <c r="B1506" s="9" t="s">
        <v>1159</v>
      </c>
      <c r="C1506" s="137" t="s">
        <v>1160</v>
      </c>
      <c r="D1506" s="152"/>
      <c r="E1506" s="152"/>
      <c r="F1506" s="152"/>
      <c r="G1506" s="152"/>
      <c r="H1506" s="152"/>
      <c r="I1506" s="138"/>
      <c r="J1506" s="8"/>
    </row>
    <row r="1507" spans="1:10" s="1" customFormat="1" ht="25.5" customHeight="1" x14ac:dyDescent="0.2">
      <c r="A1507" s="8"/>
      <c r="B1507" s="23">
        <v>45292</v>
      </c>
      <c r="C1507" s="137" t="s">
        <v>626</v>
      </c>
      <c r="D1507" s="152"/>
      <c r="E1507" s="152"/>
      <c r="F1507" s="152"/>
      <c r="G1507" s="152"/>
      <c r="H1507" s="152"/>
      <c r="I1507" s="138"/>
      <c r="J1507" s="8"/>
    </row>
    <row r="1508" spans="1:10" s="1" customFormat="1" ht="25.5" customHeight="1" x14ac:dyDescent="0.2">
      <c r="A1508" s="10">
        <v>92690</v>
      </c>
      <c r="B1508" s="11" t="s">
        <v>1161</v>
      </c>
      <c r="C1508" s="139" t="s">
        <v>1162</v>
      </c>
      <c r="D1508" s="140"/>
      <c r="E1508" s="11" t="s">
        <v>81</v>
      </c>
      <c r="F1508" s="12">
        <v>18</v>
      </c>
      <c r="G1508" s="12">
        <v>35.74</v>
      </c>
      <c r="H1508" s="12">
        <v>45.6</v>
      </c>
      <c r="I1508" s="13">
        <f>F1508*G1508</f>
        <v>643.32000000000005</v>
      </c>
      <c r="J1508" s="13">
        <f>F1508*H1508</f>
        <v>820.80000000000007</v>
      </c>
    </row>
    <row r="1509" spans="1:10" s="1" customFormat="1" ht="25.5" customHeight="1" x14ac:dyDescent="0.2">
      <c r="A1509" s="10">
        <v>92689</v>
      </c>
      <c r="B1509" s="11" t="s">
        <v>1163</v>
      </c>
      <c r="C1509" s="139" t="s">
        <v>1164</v>
      </c>
      <c r="D1509" s="140"/>
      <c r="E1509" s="11" t="s">
        <v>81</v>
      </c>
      <c r="F1509" s="12">
        <v>18</v>
      </c>
      <c r="G1509" s="12">
        <v>24.41</v>
      </c>
      <c r="H1509" s="12">
        <v>31.14</v>
      </c>
      <c r="I1509" s="13">
        <f>F1509*G1509</f>
        <v>439.38</v>
      </c>
      <c r="J1509" s="13">
        <f>F1509*H1509</f>
        <v>560.52</v>
      </c>
    </row>
    <row r="1510" spans="1:10" s="1" customFormat="1" ht="25.5" customHeight="1" x14ac:dyDescent="0.2">
      <c r="A1510" s="8"/>
      <c r="B1510" s="23">
        <v>45293</v>
      </c>
      <c r="C1510" s="137" t="s">
        <v>450</v>
      </c>
      <c r="D1510" s="138"/>
      <c r="E1510" s="8"/>
      <c r="F1510" s="8"/>
      <c r="G1510" s="8"/>
      <c r="H1510" s="8"/>
      <c r="I1510" s="8"/>
      <c r="J1510" s="8"/>
    </row>
    <row r="1511" spans="1:10" s="1" customFormat="1" ht="25.5" customHeight="1" x14ac:dyDescent="0.2">
      <c r="A1511" s="11" t="s">
        <v>308</v>
      </c>
      <c r="B1511" s="11" t="s">
        <v>1165</v>
      </c>
      <c r="C1511" s="139" t="s">
        <v>1166</v>
      </c>
      <c r="D1511" s="140"/>
      <c r="E1511" s="11" t="s">
        <v>102</v>
      </c>
      <c r="F1511" s="12">
        <v>2</v>
      </c>
      <c r="G1511" s="12">
        <v>18.7</v>
      </c>
      <c r="H1511" s="12">
        <v>23.86</v>
      </c>
      <c r="I1511" s="13">
        <f>F1511*G1511</f>
        <v>37.4</v>
      </c>
      <c r="J1511" s="13">
        <f>F1511*H1511</f>
        <v>47.72</v>
      </c>
    </row>
    <row r="1512" spans="1:10" s="1" customFormat="1" ht="25.5" customHeight="1" x14ac:dyDescent="0.2">
      <c r="A1512" s="8"/>
      <c r="B1512" s="23">
        <v>45294</v>
      </c>
      <c r="C1512" s="137" t="s">
        <v>750</v>
      </c>
      <c r="D1512" s="138"/>
      <c r="E1512" s="8"/>
      <c r="F1512" s="8"/>
      <c r="G1512" s="8"/>
      <c r="H1512" s="12"/>
      <c r="I1512" s="12"/>
      <c r="J1512" s="8"/>
    </row>
    <row r="1513" spans="1:10" s="1" customFormat="1" ht="25.5" customHeight="1" x14ac:dyDescent="0.2">
      <c r="A1513" s="11" t="s">
        <v>308</v>
      </c>
      <c r="B1513" s="11" t="s">
        <v>1167</v>
      </c>
      <c r="C1513" s="139" t="s">
        <v>1168</v>
      </c>
      <c r="D1513" s="140"/>
      <c r="E1513" s="11" t="s">
        <v>102</v>
      </c>
      <c r="F1513" s="12">
        <v>3</v>
      </c>
      <c r="G1513" s="12">
        <v>14.45</v>
      </c>
      <c r="H1513" s="12">
        <v>18.440000000000001</v>
      </c>
      <c r="I1513" s="13">
        <f>F1513*G1513</f>
        <v>43.349999999999994</v>
      </c>
      <c r="J1513" s="13">
        <f>F1513*H1513</f>
        <v>55.320000000000007</v>
      </c>
    </row>
    <row r="1514" spans="1:10" s="1" customFormat="1" ht="25.5" customHeight="1" x14ac:dyDescent="0.2">
      <c r="A1514" s="11" t="s">
        <v>308</v>
      </c>
      <c r="B1514" s="11" t="s">
        <v>1169</v>
      </c>
      <c r="C1514" s="139" t="s">
        <v>1170</v>
      </c>
      <c r="D1514" s="140"/>
      <c r="E1514" s="11" t="s">
        <v>102</v>
      </c>
      <c r="F1514" s="12">
        <v>3</v>
      </c>
      <c r="G1514" s="12">
        <v>11.87</v>
      </c>
      <c r="H1514" s="12">
        <v>15.14</v>
      </c>
      <c r="I1514" s="13">
        <f>F1514*G1514</f>
        <v>35.61</v>
      </c>
      <c r="J1514" s="13">
        <f>F1514*H1514</f>
        <v>45.42</v>
      </c>
    </row>
    <row r="1515" spans="1:10" s="1" customFormat="1" ht="25.5" customHeight="1" x14ac:dyDescent="0.2">
      <c r="A1515" s="8"/>
      <c r="B1515" s="23">
        <v>45295</v>
      </c>
      <c r="C1515" s="137" t="s">
        <v>652</v>
      </c>
      <c r="D1515" s="138"/>
      <c r="E1515" s="8"/>
      <c r="F1515" s="8"/>
      <c r="G1515" s="8"/>
      <c r="H1515" s="8"/>
      <c r="I1515" s="8"/>
      <c r="J1515" s="8"/>
    </row>
    <row r="1516" spans="1:10" s="1" customFormat="1" ht="25.5" customHeight="1" x14ac:dyDescent="0.2">
      <c r="A1516" s="11" t="s">
        <v>308</v>
      </c>
      <c r="B1516" s="11" t="s">
        <v>1171</v>
      </c>
      <c r="C1516" s="139" t="s">
        <v>1172</v>
      </c>
      <c r="D1516" s="140"/>
      <c r="E1516" s="11" t="s">
        <v>102</v>
      </c>
      <c r="F1516" s="12">
        <v>8</v>
      </c>
      <c r="G1516" s="12">
        <v>15.21</v>
      </c>
      <c r="H1516" s="12">
        <v>19.41</v>
      </c>
      <c r="I1516" s="13">
        <f>F1516*G1516</f>
        <v>121.68</v>
      </c>
      <c r="J1516" s="13">
        <f>F1516*H1516</f>
        <v>155.28</v>
      </c>
    </row>
    <row r="1517" spans="1:10" s="1" customFormat="1" ht="25.5" customHeight="1" x14ac:dyDescent="0.2">
      <c r="A1517" s="11" t="s">
        <v>308</v>
      </c>
      <c r="B1517" s="11" t="s">
        <v>1173</v>
      </c>
      <c r="C1517" s="139" t="s">
        <v>1174</v>
      </c>
      <c r="D1517" s="140"/>
      <c r="E1517" s="11" t="s">
        <v>102</v>
      </c>
      <c r="F1517" s="12">
        <v>2</v>
      </c>
      <c r="G1517" s="12">
        <v>15.21</v>
      </c>
      <c r="H1517" s="12">
        <v>19.41</v>
      </c>
      <c r="I1517" s="13">
        <f>F1517*G1517</f>
        <v>30.42</v>
      </c>
      <c r="J1517" s="13">
        <f>F1517*H1517</f>
        <v>38.82</v>
      </c>
    </row>
    <row r="1518" spans="1:10" s="1" customFormat="1" ht="25.5" customHeight="1" x14ac:dyDescent="0.2">
      <c r="A1518" s="8"/>
      <c r="B1518" s="23">
        <v>45296</v>
      </c>
      <c r="C1518" s="137" t="s">
        <v>1177</v>
      </c>
      <c r="D1518" s="138"/>
      <c r="E1518" s="8"/>
      <c r="F1518" s="8"/>
      <c r="G1518" s="8"/>
      <c r="H1518" s="8"/>
      <c r="I1518" s="8"/>
      <c r="J1518" s="8"/>
    </row>
    <row r="1519" spans="1:10" s="1" customFormat="1" ht="25.5" customHeight="1" x14ac:dyDescent="0.2">
      <c r="A1519" s="11" t="s">
        <v>308</v>
      </c>
      <c r="B1519" s="11" t="s">
        <v>1178</v>
      </c>
      <c r="C1519" s="139" t="s">
        <v>1179</v>
      </c>
      <c r="D1519" s="140"/>
      <c r="E1519" s="11" t="s">
        <v>102</v>
      </c>
      <c r="F1519" s="12">
        <v>2</v>
      </c>
      <c r="G1519" s="12">
        <v>20.8</v>
      </c>
      <c r="H1519" s="12">
        <v>26.54</v>
      </c>
      <c r="I1519" s="13">
        <f>F1519*G1519</f>
        <v>41.6</v>
      </c>
      <c r="J1519" s="13">
        <f>F1519*H1519</f>
        <v>53.08</v>
      </c>
    </row>
    <row r="1520" spans="1:10" s="1" customFormat="1" ht="25.5" customHeight="1" x14ac:dyDescent="0.2">
      <c r="A1520" s="8"/>
      <c r="B1520" s="23">
        <v>45297</v>
      </c>
      <c r="C1520" s="137" t="s">
        <v>473</v>
      </c>
      <c r="D1520" s="138"/>
      <c r="E1520" s="8"/>
      <c r="F1520" s="8"/>
      <c r="G1520" s="8"/>
      <c r="H1520" s="8"/>
      <c r="I1520" s="8"/>
      <c r="J1520" s="8"/>
    </row>
    <row r="1521" spans="1:10" s="1" customFormat="1" ht="25.5" customHeight="1" x14ac:dyDescent="0.2">
      <c r="A1521" s="11" t="s">
        <v>308</v>
      </c>
      <c r="B1521" s="11" t="s">
        <v>1180</v>
      </c>
      <c r="C1521" s="139" t="s">
        <v>1181</v>
      </c>
      <c r="D1521" s="140"/>
      <c r="E1521" s="11" t="s">
        <v>102</v>
      </c>
      <c r="F1521" s="12">
        <v>3</v>
      </c>
      <c r="G1521" s="12">
        <v>79</v>
      </c>
      <c r="H1521" s="12">
        <v>100.8</v>
      </c>
      <c r="I1521" s="13">
        <f>F1521*G1521</f>
        <v>237</v>
      </c>
      <c r="J1521" s="13">
        <f>F1521*H1521</f>
        <v>302.39999999999998</v>
      </c>
    </row>
    <row r="1522" spans="1:10" s="1" customFormat="1" ht="25.5" customHeight="1" x14ac:dyDescent="0.2">
      <c r="A1522" s="8"/>
      <c r="B1522" s="23">
        <v>45298</v>
      </c>
      <c r="C1522" s="137" t="s">
        <v>1182</v>
      </c>
      <c r="D1522" s="138"/>
      <c r="E1522" s="8"/>
      <c r="F1522" s="8"/>
      <c r="G1522" s="8"/>
      <c r="H1522" s="8"/>
      <c r="I1522" s="8"/>
      <c r="J1522" s="8"/>
    </row>
    <row r="1523" spans="1:10" s="1" customFormat="1" ht="25.5" customHeight="1" x14ac:dyDescent="0.2">
      <c r="A1523" s="11" t="s">
        <v>308</v>
      </c>
      <c r="B1523" s="11" t="s">
        <v>1183</v>
      </c>
      <c r="C1523" s="139" t="s">
        <v>1184</v>
      </c>
      <c r="D1523" s="140"/>
      <c r="E1523" s="11" t="s">
        <v>102</v>
      </c>
      <c r="F1523" s="12">
        <v>3</v>
      </c>
      <c r="G1523" s="12">
        <v>18.899999999999999</v>
      </c>
      <c r="H1523" s="12">
        <v>24.11</v>
      </c>
      <c r="I1523" s="13">
        <f>F1523*G1523</f>
        <v>56.699999999999996</v>
      </c>
      <c r="J1523" s="13">
        <f>F1523*H1523</f>
        <v>72.33</v>
      </c>
    </row>
    <row r="1524" spans="1:10" s="1" customFormat="1" ht="25.5" customHeight="1" x14ac:dyDescent="0.2">
      <c r="A1524" s="11" t="s">
        <v>308</v>
      </c>
      <c r="B1524" s="11" t="s">
        <v>1185</v>
      </c>
      <c r="C1524" s="139" t="s">
        <v>1186</v>
      </c>
      <c r="D1524" s="140"/>
      <c r="E1524" s="11" t="s">
        <v>102</v>
      </c>
      <c r="F1524" s="12">
        <v>5</v>
      </c>
      <c r="G1524" s="12">
        <v>15.9</v>
      </c>
      <c r="H1524" s="12">
        <v>20.29</v>
      </c>
      <c r="I1524" s="13">
        <f>F1524*G1524</f>
        <v>79.5</v>
      </c>
      <c r="J1524" s="13">
        <f>F1524*H1524</f>
        <v>101.44999999999999</v>
      </c>
    </row>
    <row r="1525" spans="1:10" s="1" customFormat="1" ht="25.5" customHeight="1" x14ac:dyDescent="0.2">
      <c r="A1525" s="8"/>
      <c r="B1525" s="23">
        <v>45299</v>
      </c>
      <c r="C1525" s="137" t="s">
        <v>1187</v>
      </c>
      <c r="D1525" s="138"/>
      <c r="E1525" s="8"/>
      <c r="F1525" s="8"/>
      <c r="G1525" s="8"/>
      <c r="H1525" s="8"/>
      <c r="I1525" s="8"/>
      <c r="J1525" s="8"/>
    </row>
    <row r="1526" spans="1:10" s="1" customFormat="1" ht="25.5" customHeight="1" x14ac:dyDescent="0.2">
      <c r="A1526" s="11" t="s">
        <v>308</v>
      </c>
      <c r="B1526" s="11" t="s">
        <v>1188</v>
      </c>
      <c r="C1526" s="139" t="s">
        <v>1189</v>
      </c>
      <c r="D1526" s="140"/>
      <c r="E1526" s="11" t="s">
        <v>102</v>
      </c>
      <c r="F1526" s="12">
        <v>4</v>
      </c>
      <c r="G1526" s="12">
        <v>96</v>
      </c>
      <c r="H1526" s="12">
        <v>122.49</v>
      </c>
      <c r="I1526" s="13">
        <f>F1526*G1526</f>
        <v>384</v>
      </c>
      <c r="J1526" s="13">
        <f>F1526*H1526</f>
        <v>489.96</v>
      </c>
    </row>
    <row r="1527" spans="1:10" s="1" customFormat="1" ht="25.5" customHeight="1" x14ac:dyDescent="0.2">
      <c r="A1527" s="8"/>
      <c r="B1527" s="23">
        <v>45300</v>
      </c>
      <c r="C1527" s="137" t="s">
        <v>1190</v>
      </c>
      <c r="D1527" s="138"/>
      <c r="E1527" s="8"/>
      <c r="F1527" s="8"/>
      <c r="G1527" s="8"/>
      <c r="H1527" s="8"/>
      <c r="I1527" s="8"/>
      <c r="J1527" s="8"/>
    </row>
    <row r="1528" spans="1:10" s="1" customFormat="1" ht="25.5" customHeight="1" x14ac:dyDescent="0.2">
      <c r="A1528" s="11" t="s">
        <v>308</v>
      </c>
      <c r="B1528" s="11" t="s">
        <v>1191</v>
      </c>
      <c r="C1528" s="139" t="s">
        <v>1192</v>
      </c>
      <c r="D1528" s="140"/>
      <c r="E1528" s="11" t="s">
        <v>102</v>
      </c>
      <c r="F1528" s="12">
        <v>1</v>
      </c>
      <c r="G1528" s="12">
        <v>28.29</v>
      </c>
      <c r="H1528" s="12">
        <v>36.1</v>
      </c>
      <c r="I1528" s="13">
        <f>F1528*G1528</f>
        <v>28.29</v>
      </c>
      <c r="J1528" s="13">
        <f>F1528*H1528</f>
        <v>36.1</v>
      </c>
    </row>
    <row r="1529" spans="1:10" s="1" customFormat="1" ht="25.5" customHeight="1" x14ac:dyDescent="0.2">
      <c r="A1529" s="11" t="s">
        <v>308</v>
      </c>
      <c r="B1529" s="11" t="s">
        <v>1193</v>
      </c>
      <c r="C1529" s="139" t="s">
        <v>1194</v>
      </c>
      <c r="D1529" s="140"/>
      <c r="E1529" s="11" t="s">
        <v>102</v>
      </c>
      <c r="F1529" s="12">
        <v>2</v>
      </c>
      <c r="G1529" s="12">
        <v>21.93</v>
      </c>
      <c r="H1529" s="12">
        <v>27.98</v>
      </c>
      <c r="I1529" s="13">
        <f>F1529*G1529</f>
        <v>43.86</v>
      </c>
      <c r="J1529" s="13">
        <f>F1529*H1529</f>
        <v>55.96</v>
      </c>
    </row>
    <row r="1530" spans="1:10" s="1" customFormat="1" ht="25.5" customHeight="1" x14ac:dyDescent="0.2">
      <c r="A1530" s="8"/>
      <c r="B1530" s="9" t="s">
        <v>1195</v>
      </c>
      <c r="C1530" s="137" t="s">
        <v>1196</v>
      </c>
      <c r="D1530" s="138"/>
      <c r="E1530" s="8"/>
      <c r="F1530" s="8"/>
      <c r="G1530" s="8"/>
      <c r="H1530" s="8"/>
      <c r="I1530" s="8"/>
      <c r="J1530" s="8"/>
    </row>
    <row r="1531" spans="1:10" s="1" customFormat="1" ht="25.5" customHeight="1" x14ac:dyDescent="0.2">
      <c r="A1531" s="8"/>
      <c r="B1531" s="23">
        <v>45323</v>
      </c>
      <c r="C1531" s="137" t="s">
        <v>1197</v>
      </c>
      <c r="D1531" s="138"/>
      <c r="E1531" s="8"/>
      <c r="F1531" s="8"/>
      <c r="G1531" s="8"/>
      <c r="H1531" s="8"/>
      <c r="I1531" s="8"/>
      <c r="J1531" s="8"/>
    </row>
    <row r="1532" spans="1:10" s="1" customFormat="1" ht="25.5" customHeight="1" x14ac:dyDescent="0.2">
      <c r="A1532" s="11" t="s">
        <v>308</v>
      </c>
      <c r="B1532" s="11" t="s">
        <v>1198</v>
      </c>
      <c r="C1532" s="139" t="s">
        <v>1199</v>
      </c>
      <c r="D1532" s="140"/>
      <c r="E1532" s="11" t="s">
        <v>102</v>
      </c>
      <c r="F1532" s="12">
        <v>2</v>
      </c>
      <c r="G1532" s="12">
        <v>14.99</v>
      </c>
      <c r="H1532" s="12">
        <v>19.13</v>
      </c>
      <c r="I1532" s="13">
        <f>F1532*G1532</f>
        <v>29.98</v>
      </c>
      <c r="J1532" s="13">
        <f>F1532*H1532</f>
        <v>38.26</v>
      </c>
    </row>
    <row r="1533" spans="1:10" s="1" customFormat="1" ht="25.5" customHeight="1" x14ac:dyDescent="0.2">
      <c r="A1533" s="8"/>
      <c r="B1533" s="23">
        <v>45324</v>
      </c>
      <c r="C1533" s="137" t="s">
        <v>1200</v>
      </c>
      <c r="D1533" s="138"/>
      <c r="E1533" s="8"/>
      <c r="F1533" s="8"/>
      <c r="G1533" s="8"/>
      <c r="H1533" s="8"/>
      <c r="I1533" s="8"/>
      <c r="J1533" s="8"/>
    </row>
    <row r="1534" spans="1:10" s="1" customFormat="1" ht="25.5" customHeight="1" x14ac:dyDescent="0.2">
      <c r="A1534" s="11" t="s">
        <v>308</v>
      </c>
      <c r="B1534" s="11" t="s">
        <v>1201</v>
      </c>
      <c r="C1534" s="139" t="s">
        <v>1202</v>
      </c>
      <c r="D1534" s="140"/>
      <c r="E1534" s="11" t="s">
        <v>102</v>
      </c>
      <c r="F1534" s="12">
        <v>1</v>
      </c>
      <c r="G1534" s="12">
        <v>180</v>
      </c>
      <c r="H1534" s="12">
        <v>229.66</v>
      </c>
      <c r="I1534" s="13">
        <f>F1534*G1534</f>
        <v>180</v>
      </c>
      <c r="J1534" s="13">
        <f>F1534*H1534</f>
        <v>229.66</v>
      </c>
    </row>
    <row r="1535" spans="1:10" s="1" customFormat="1" ht="25.5" customHeight="1" x14ac:dyDescent="0.2">
      <c r="A1535" s="11" t="s">
        <v>308</v>
      </c>
      <c r="B1535" s="11" t="s">
        <v>1203</v>
      </c>
      <c r="C1535" s="139" t="s">
        <v>1204</v>
      </c>
      <c r="D1535" s="140"/>
      <c r="E1535" s="11" t="s">
        <v>102</v>
      </c>
      <c r="F1535" s="12">
        <v>2</v>
      </c>
      <c r="G1535" s="12">
        <v>49.9</v>
      </c>
      <c r="H1535" s="12">
        <v>63.67</v>
      </c>
      <c r="I1535" s="13">
        <f>F1535*G1535</f>
        <v>99.8</v>
      </c>
      <c r="J1535" s="13">
        <f>F1535*H1535</f>
        <v>127.34</v>
      </c>
    </row>
    <row r="1536" spans="1:10" s="1" customFormat="1" ht="25.5" customHeight="1" x14ac:dyDescent="0.2">
      <c r="A1536" s="8"/>
      <c r="B1536" s="23">
        <v>45325</v>
      </c>
      <c r="C1536" s="137" t="s">
        <v>1205</v>
      </c>
      <c r="D1536" s="138"/>
      <c r="E1536" s="8"/>
      <c r="F1536" s="8"/>
      <c r="G1536" s="8"/>
      <c r="H1536" s="8"/>
      <c r="I1536" s="8"/>
      <c r="J1536" s="8"/>
    </row>
    <row r="1537" spans="1:10" s="1" customFormat="1" ht="25.5" customHeight="1" x14ac:dyDescent="0.2">
      <c r="A1537" s="11" t="s">
        <v>308</v>
      </c>
      <c r="B1537" s="11" t="s">
        <v>1206</v>
      </c>
      <c r="C1537" s="139" t="s">
        <v>1207</v>
      </c>
      <c r="D1537" s="140"/>
      <c r="E1537" s="11" t="s">
        <v>102</v>
      </c>
      <c r="F1537" s="12">
        <v>2</v>
      </c>
      <c r="G1537" s="12">
        <v>49</v>
      </c>
      <c r="H1537" s="12">
        <v>62.52</v>
      </c>
      <c r="I1537" s="13">
        <f>F1537*G1537</f>
        <v>98</v>
      </c>
      <c r="J1537" s="13">
        <f>F1537*H1537</f>
        <v>125.04</v>
      </c>
    </row>
    <row r="1538" spans="1:10" s="1" customFormat="1" ht="25.5" customHeight="1" x14ac:dyDescent="0.2">
      <c r="A1538" s="8"/>
      <c r="B1538" s="23">
        <v>45325</v>
      </c>
      <c r="C1538" s="137" t="s">
        <v>1208</v>
      </c>
      <c r="D1538" s="138"/>
      <c r="E1538" s="8"/>
      <c r="F1538" s="8"/>
      <c r="G1538" s="8"/>
      <c r="H1538" s="8"/>
      <c r="I1538" s="8"/>
      <c r="J1538" s="8"/>
    </row>
    <row r="1539" spans="1:10" s="1" customFormat="1" ht="25.5" customHeight="1" x14ac:dyDescent="0.2">
      <c r="A1539" s="11" t="s">
        <v>308</v>
      </c>
      <c r="B1539" s="11" t="s">
        <v>1206</v>
      </c>
      <c r="C1539" s="139" t="s">
        <v>1209</v>
      </c>
      <c r="D1539" s="140"/>
      <c r="E1539" s="11" t="s">
        <v>102</v>
      </c>
      <c r="F1539" s="12">
        <v>1</v>
      </c>
      <c r="G1539" s="12">
        <v>26.89</v>
      </c>
      <c r="H1539" s="12">
        <v>34.31</v>
      </c>
      <c r="I1539" s="13">
        <f>F1539*G1539</f>
        <v>26.89</v>
      </c>
      <c r="J1539" s="13">
        <f>F1539*H1539</f>
        <v>34.31</v>
      </c>
    </row>
    <row r="1540" spans="1:10" s="1" customFormat="1" ht="25.5" customHeight="1" x14ac:dyDescent="0.2">
      <c r="A1540" s="8"/>
      <c r="B1540" s="23">
        <v>45326</v>
      </c>
      <c r="C1540" s="137" t="s">
        <v>1210</v>
      </c>
      <c r="D1540" s="138"/>
      <c r="E1540" s="8"/>
      <c r="F1540" s="8"/>
      <c r="G1540" s="8"/>
      <c r="H1540" s="8"/>
      <c r="I1540" s="8"/>
      <c r="J1540" s="8"/>
    </row>
    <row r="1541" spans="1:10" s="1" customFormat="1" ht="25.5" customHeight="1" x14ac:dyDescent="0.2">
      <c r="A1541" s="11" t="s">
        <v>308</v>
      </c>
      <c r="B1541" s="11" t="s">
        <v>1211</v>
      </c>
      <c r="C1541" s="139" t="s">
        <v>1212</v>
      </c>
      <c r="D1541" s="140"/>
      <c r="E1541" s="11" t="s">
        <v>102</v>
      </c>
      <c r="F1541" s="12">
        <v>6</v>
      </c>
      <c r="G1541" s="12">
        <v>0.17</v>
      </c>
      <c r="H1541" s="12">
        <v>0.22</v>
      </c>
      <c r="I1541" s="13">
        <f>F1541*G1541</f>
        <v>1.02</v>
      </c>
      <c r="J1541" s="13">
        <f>F1541*H1541</f>
        <v>1.32</v>
      </c>
    </row>
    <row r="1542" spans="1:10" s="1" customFormat="1" ht="25.5" customHeight="1" x14ac:dyDescent="0.2">
      <c r="A1542" s="8"/>
      <c r="B1542" s="149" t="s">
        <v>1213</v>
      </c>
      <c r="C1542" s="150"/>
      <c r="D1542" s="150"/>
      <c r="E1542" s="150"/>
      <c r="F1542" s="150"/>
      <c r="G1542" s="151"/>
      <c r="H1542" s="8"/>
      <c r="I1542" s="14">
        <f>SUM(I1508:I1541)-0.05</f>
        <v>2657.75</v>
      </c>
      <c r="J1542" s="15">
        <f>SUM(J1508:J1541)-0.07</f>
        <v>3391.02</v>
      </c>
    </row>
    <row r="1543" spans="1:10" s="1" customFormat="1" ht="25.5" customHeight="1" x14ac:dyDescent="0.2">
      <c r="A1543" s="8"/>
      <c r="B1543" s="9" t="s">
        <v>1214</v>
      </c>
      <c r="C1543" s="137" t="s">
        <v>1215</v>
      </c>
      <c r="D1543" s="138"/>
      <c r="E1543" s="8"/>
      <c r="F1543" s="8"/>
      <c r="G1543" s="8"/>
      <c r="H1543" s="8"/>
      <c r="I1543" s="8"/>
      <c r="J1543" s="8"/>
    </row>
    <row r="1544" spans="1:10" s="1" customFormat="1" ht="25.5" customHeight="1" x14ac:dyDescent="0.2">
      <c r="A1544" s="8"/>
      <c r="B1544" s="9" t="s">
        <v>1216</v>
      </c>
      <c r="C1544" s="137" t="s">
        <v>1196</v>
      </c>
      <c r="D1544" s="152"/>
      <c r="E1544" s="152"/>
      <c r="F1544" s="152"/>
      <c r="G1544" s="152"/>
      <c r="H1544" s="152"/>
      <c r="I1544" s="138"/>
      <c r="J1544" s="8"/>
    </row>
    <row r="1545" spans="1:10" s="1" customFormat="1" ht="25.5" customHeight="1" x14ac:dyDescent="0.2">
      <c r="A1545" s="11" t="s">
        <v>78</v>
      </c>
      <c r="B1545" s="21">
        <v>45658</v>
      </c>
      <c r="C1545" s="139" t="s">
        <v>1217</v>
      </c>
      <c r="D1545" s="140"/>
      <c r="E1545" s="11" t="s">
        <v>102</v>
      </c>
      <c r="F1545" s="12">
        <v>8</v>
      </c>
      <c r="G1545" s="12">
        <v>95.52</v>
      </c>
      <c r="H1545" s="12">
        <v>121.87</v>
      </c>
      <c r="I1545" s="13">
        <f t="shared" ref="I1545:I1557" si="136">F1545*G1545</f>
        <v>764.16</v>
      </c>
      <c r="J1545" s="13">
        <f t="shared" ref="J1545:J1557" si="137">F1545*H1545</f>
        <v>974.96</v>
      </c>
    </row>
    <row r="1546" spans="1:10" s="1" customFormat="1" ht="25.5" customHeight="1" x14ac:dyDescent="0.2">
      <c r="A1546" s="11" t="s">
        <v>308</v>
      </c>
      <c r="B1546" s="21">
        <v>45659</v>
      </c>
      <c r="C1546" s="139" t="s">
        <v>1218</v>
      </c>
      <c r="D1546" s="140"/>
      <c r="E1546" s="11" t="s">
        <v>102</v>
      </c>
      <c r="F1546" s="12">
        <v>8</v>
      </c>
      <c r="G1546" s="12">
        <v>9.93</v>
      </c>
      <c r="H1546" s="12">
        <v>12.67</v>
      </c>
      <c r="I1546" s="13">
        <f t="shared" si="136"/>
        <v>79.44</v>
      </c>
      <c r="J1546" s="13">
        <f t="shared" si="137"/>
        <v>101.36</v>
      </c>
    </row>
    <row r="1547" spans="1:10" s="1" customFormat="1" ht="25.5" customHeight="1" x14ac:dyDescent="0.2">
      <c r="A1547" s="11" t="s">
        <v>308</v>
      </c>
      <c r="B1547" s="21">
        <v>45660</v>
      </c>
      <c r="C1547" s="139" t="s">
        <v>1219</v>
      </c>
      <c r="D1547" s="140"/>
      <c r="E1547" s="11" t="s">
        <v>102</v>
      </c>
      <c r="F1547" s="12">
        <v>2</v>
      </c>
      <c r="G1547" s="12">
        <v>12.71</v>
      </c>
      <c r="H1547" s="12">
        <v>16.22</v>
      </c>
      <c r="I1547" s="13">
        <f t="shared" si="136"/>
        <v>25.42</v>
      </c>
      <c r="J1547" s="13">
        <f t="shared" si="137"/>
        <v>32.44</v>
      </c>
    </row>
    <row r="1548" spans="1:10" s="1" customFormat="1" ht="25.5" customHeight="1" x14ac:dyDescent="0.2">
      <c r="A1548" s="11" t="s">
        <v>308</v>
      </c>
      <c r="B1548" s="21">
        <v>45661</v>
      </c>
      <c r="C1548" s="139" t="s">
        <v>1220</v>
      </c>
      <c r="D1548" s="140"/>
      <c r="E1548" s="11" t="s">
        <v>102</v>
      </c>
      <c r="F1548" s="12">
        <v>5</v>
      </c>
      <c r="G1548" s="12">
        <v>150</v>
      </c>
      <c r="H1548" s="12">
        <v>191.39</v>
      </c>
      <c r="I1548" s="13">
        <f t="shared" si="136"/>
        <v>750</v>
      </c>
      <c r="J1548" s="13">
        <f t="shared" si="137"/>
        <v>956.94999999999993</v>
      </c>
    </row>
    <row r="1549" spans="1:10" s="1" customFormat="1" ht="25.5" customHeight="1" x14ac:dyDescent="0.2">
      <c r="A1549" s="11" t="s">
        <v>308</v>
      </c>
      <c r="B1549" s="21">
        <v>45662</v>
      </c>
      <c r="C1549" s="139" t="s">
        <v>1221</v>
      </c>
      <c r="D1549" s="140"/>
      <c r="E1549" s="11" t="s">
        <v>102</v>
      </c>
      <c r="F1549" s="12">
        <v>38</v>
      </c>
      <c r="G1549" s="12">
        <v>59.9</v>
      </c>
      <c r="H1549" s="12">
        <v>76.430000000000007</v>
      </c>
      <c r="I1549" s="13">
        <f t="shared" si="136"/>
        <v>2276.1999999999998</v>
      </c>
      <c r="J1549" s="13">
        <f t="shared" si="137"/>
        <v>2904.34</v>
      </c>
    </row>
    <row r="1550" spans="1:10" s="1" customFormat="1" ht="25.5" customHeight="1" x14ac:dyDescent="0.2">
      <c r="A1550" s="11" t="s">
        <v>308</v>
      </c>
      <c r="B1550" s="21">
        <v>45663</v>
      </c>
      <c r="C1550" s="139" t="s">
        <v>1222</v>
      </c>
      <c r="D1550" s="140"/>
      <c r="E1550" s="11" t="s">
        <v>102</v>
      </c>
      <c r="F1550" s="12">
        <v>2</v>
      </c>
      <c r="G1550" s="12">
        <v>219</v>
      </c>
      <c r="H1550" s="12">
        <v>279.42</v>
      </c>
      <c r="I1550" s="13">
        <f t="shared" si="136"/>
        <v>438</v>
      </c>
      <c r="J1550" s="13">
        <f t="shared" si="137"/>
        <v>558.84</v>
      </c>
    </row>
    <row r="1551" spans="1:10" s="1" customFormat="1" ht="25.5" customHeight="1" x14ac:dyDescent="0.2">
      <c r="A1551" s="11" t="s">
        <v>308</v>
      </c>
      <c r="B1551" s="21">
        <v>45664</v>
      </c>
      <c r="C1551" s="139" t="s">
        <v>1223</v>
      </c>
      <c r="D1551" s="140"/>
      <c r="E1551" s="11" t="s">
        <v>102</v>
      </c>
      <c r="F1551" s="12">
        <v>9</v>
      </c>
      <c r="G1551" s="12">
        <v>19.3</v>
      </c>
      <c r="H1551" s="12">
        <v>24.62</v>
      </c>
      <c r="I1551" s="13">
        <f t="shared" si="136"/>
        <v>173.70000000000002</v>
      </c>
      <c r="J1551" s="13">
        <f t="shared" si="137"/>
        <v>221.58</v>
      </c>
    </row>
    <row r="1552" spans="1:10" s="1" customFormat="1" ht="25.5" customHeight="1" x14ac:dyDescent="0.2">
      <c r="A1552" s="11" t="s">
        <v>308</v>
      </c>
      <c r="B1552" s="21">
        <v>45665</v>
      </c>
      <c r="C1552" s="139" t="s">
        <v>1224</v>
      </c>
      <c r="D1552" s="140"/>
      <c r="E1552" s="11" t="s">
        <v>102</v>
      </c>
      <c r="F1552" s="12">
        <v>8</v>
      </c>
      <c r="G1552" s="12">
        <v>19.3</v>
      </c>
      <c r="H1552" s="12">
        <v>24.62</v>
      </c>
      <c r="I1552" s="13">
        <f t="shared" si="136"/>
        <v>154.4</v>
      </c>
      <c r="J1552" s="13">
        <f t="shared" si="137"/>
        <v>196.96</v>
      </c>
    </row>
    <row r="1553" spans="1:11" s="1" customFormat="1" ht="25.5" customHeight="1" x14ac:dyDescent="0.2">
      <c r="A1553" s="11" t="s">
        <v>308</v>
      </c>
      <c r="B1553" s="21">
        <v>45666</v>
      </c>
      <c r="C1553" s="139" t="s">
        <v>1225</v>
      </c>
      <c r="D1553" s="140"/>
      <c r="E1553" s="11" t="s">
        <v>102</v>
      </c>
      <c r="F1553" s="12">
        <v>8</v>
      </c>
      <c r="G1553" s="12">
        <v>9.9</v>
      </c>
      <c r="H1553" s="12">
        <v>12.63</v>
      </c>
      <c r="I1553" s="13">
        <f t="shared" si="136"/>
        <v>79.2</v>
      </c>
      <c r="J1553" s="13">
        <f t="shared" si="137"/>
        <v>101.04</v>
      </c>
    </row>
    <row r="1554" spans="1:11" s="1" customFormat="1" ht="25.5" customHeight="1" x14ac:dyDescent="0.2">
      <c r="A1554" s="11" t="s">
        <v>308</v>
      </c>
      <c r="B1554" s="34">
        <v>40203</v>
      </c>
      <c r="C1554" s="139" t="s">
        <v>1226</v>
      </c>
      <c r="D1554" s="140"/>
      <c r="E1554" s="11" t="s">
        <v>102</v>
      </c>
      <c r="F1554" s="12">
        <v>1</v>
      </c>
      <c r="G1554" s="12">
        <v>11.57</v>
      </c>
      <c r="H1554" s="12">
        <v>14.76</v>
      </c>
      <c r="I1554" s="13">
        <f t="shared" si="136"/>
        <v>11.57</v>
      </c>
      <c r="J1554" s="13">
        <f t="shared" si="137"/>
        <v>14.76</v>
      </c>
    </row>
    <row r="1555" spans="1:11" s="1" customFormat="1" ht="25.5" customHeight="1" x14ac:dyDescent="0.2">
      <c r="A1555" s="10">
        <v>38061</v>
      </c>
      <c r="B1555" s="34">
        <v>40568</v>
      </c>
      <c r="C1555" s="139" t="s">
        <v>1227</v>
      </c>
      <c r="D1555" s="140"/>
      <c r="E1555" s="11" t="s">
        <v>102</v>
      </c>
      <c r="F1555" s="12">
        <v>1</v>
      </c>
      <c r="G1555" s="12">
        <v>39.15</v>
      </c>
      <c r="H1555" s="12">
        <v>49.95</v>
      </c>
      <c r="I1555" s="13">
        <f t="shared" si="136"/>
        <v>39.15</v>
      </c>
      <c r="J1555" s="13">
        <f t="shared" si="137"/>
        <v>49.95</v>
      </c>
    </row>
    <row r="1556" spans="1:11" s="1" customFormat="1" ht="25.5" customHeight="1" x14ac:dyDescent="0.2">
      <c r="A1556" s="10">
        <v>38061</v>
      </c>
      <c r="B1556" s="34">
        <v>40933</v>
      </c>
      <c r="C1556" s="139" t="s">
        <v>1228</v>
      </c>
      <c r="D1556" s="140"/>
      <c r="E1556" s="11" t="s">
        <v>102</v>
      </c>
      <c r="F1556" s="12">
        <v>1</v>
      </c>
      <c r="G1556" s="12">
        <v>39.15</v>
      </c>
      <c r="H1556" s="12">
        <v>49.95</v>
      </c>
      <c r="I1556" s="13">
        <f t="shared" si="136"/>
        <v>39.15</v>
      </c>
      <c r="J1556" s="13">
        <f t="shared" si="137"/>
        <v>49.95</v>
      </c>
    </row>
    <row r="1557" spans="1:11" s="1" customFormat="1" ht="25.5" customHeight="1" x14ac:dyDescent="0.2">
      <c r="A1557" s="10">
        <v>38061</v>
      </c>
      <c r="B1557" s="34">
        <v>41299</v>
      </c>
      <c r="C1557" s="139" t="s">
        <v>1229</v>
      </c>
      <c r="D1557" s="140"/>
      <c r="E1557" s="11" t="s">
        <v>102</v>
      </c>
      <c r="F1557" s="12">
        <v>8</v>
      </c>
      <c r="G1557" s="12">
        <v>39.15</v>
      </c>
      <c r="H1557" s="12">
        <v>49.95</v>
      </c>
      <c r="I1557" s="13">
        <f t="shared" si="136"/>
        <v>313.2</v>
      </c>
      <c r="J1557" s="13">
        <f t="shared" si="137"/>
        <v>399.6</v>
      </c>
    </row>
    <row r="1558" spans="1:11" s="1" customFormat="1" ht="25.5" customHeight="1" x14ac:dyDescent="0.2">
      <c r="A1558" s="8"/>
      <c r="B1558" s="149" t="s">
        <v>1230</v>
      </c>
      <c r="C1558" s="150"/>
      <c r="D1558" s="150"/>
      <c r="E1558" s="150"/>
      <c r="F1558" s="150"/>
      <c r="G1558" s="151"/>
      <c r="H1558" s="8"/>
      <c r="I1558" s="14">
        <f>SUM(I1545:I1557)-0.02</f>
        <v>5143.569999999997</v>
      </c>
      <c r="J1558" s="15">
        <f>SUM(J1545:J1557)-0.05</f>
        <v>6562.68</v>
      </c>
    </row>
    <row r="1559" spans="1:11" s="1" customFormat="1" ht="25.5" customHeight="1" x14ac:dyDescent="0.2">
      <c r="A1559" s="8"/>
      <c r="B1559" s="153"/>
      <c r="C1559" s="157"/>
      <c r="D1559" s="157"/>
      <c r="E1559" s="157"/>
      <c r="F1559" s="157"/>
      <c r="G1559" s="157"/>
      <c r="H1559" s="157"/>
      <c r="I1559" s="154"/>
      <c r="J1559" s="8"/>
    </row>
    <row r="1560" spans="1:11" s="1" customFormat="1" ht="25.5" customHeight="1" x14ac:dyDescent="0.2">
      <c r="A1560" s="8"/>
      <c r="B1560" s="9" t="s">
        <v>1231</v>
      </c>
      <c r="C1560" s="137" t="s">
        <v>1232</v>
      </c>
      <c r="D1560" s="138"/>
      <c r="E1560" s="8"/>
      <c r="F1560" s="8"/>
      <c r="G1560" s="8"/>
      <c r="H1560" s="8"/>
      <c r="I1560" s="8"/>
      <c r="J1560" s="8"/>
    </row>
    <row r="1561" spans="1:11" s="1" customFormat="1" ht="25.5" customHeight="1" x14ac:dyDescent="0.2">
      <c r="A1561" s="10">
        <v>9537</v>
      </c>
      <c r="B1561" s="11" t="s">
        <v>1233</v>
      </c>
      <c r="C1561" s="139" t="s">
        <v>1234</v>
      </c>
      <c r="D1561" s="140"/>
      <c r="E1561" s="11" t="s">
        <v>14</v>
      </c>
      <c r="F1561" s="13">
        <v>1118.48</v>
      </c>
      <c r="G1561" s="12">
        <v>1.89</v>
      </c>
      <c r="H1561" s="12">
        <v>2.41</v>
      </c>
      <c r="I1561" s="13">
        <f>F1561*G1561</f>
        <v>2113.9272000000001</v>
      </c>
      <c r="J1561" s="13">
        <f>F1561*H1561</f>
        <v>2695.5368000000003</v>
      </c>
    </row>
    <row r="1562" spans="1:11" s="1" customFormat="1" ht="25.5" customHeight="1" x14ac:dyDescent="0.2">
      <c r="A1562" s="8"/>
      <c r="B1562" s="149" t="s">
        <v>1235</v>
      </c>
      <c r="C1562" s="150"/>
      <c r="D1562" s="150"/>
      <c r="E1562" s="150"/>
      <c r="F1562" s="150"/>
      <c r="G1562" s="151"/>
      <c r="H1562" s="8"/>
      <c r="I1562" s="14">
        <f>SUM(I1561)</f>
        <v>2113.9272000000001</v>
      </c>
      <c r="J1562" s="15">
        <f>SUM(J1561)+1.62</f>
        <v>2697.1568000000002</v>
      </c>
      <c r="K1562" s="49"/>
    </row>
    <row r="1563" spans="1:11" s="1" customFormat="1" ht="25.5" customHeight="1" x14ac:dyDescent="0.2">
      <c r="A1563" s="8"/>
      <c r="B1563" s="153"/>
      <c r="C1563" s="157"/>
      <c r="D1563" s="157"/>
      <c r="E1563" s="157"/>
      <c r="F1563" s="157"/>
      <c r="G1563" s="157"/>
      <c r="H1563" s="157"/>
      <c r="I1563" s="154"/>
      <c r="J1563" s="8"/>
    </row>
    <row r="1564" spans="1:11" s="1" customFormat="1" ht="25.5" customHeight="1" x14ac:dyDescent="0.2">
      <c r="A1564" s="8"/>
      <c r="B1564" s="9" t="s">
        <v>1236</v>
      </c>
      <c r="C1564" s="137" t="s">
        <v>1237</v>
      </c>
      <c r="D1564" s="138"/>
      <c r="E1564" s="8"/>
      <c r="F1564" s="8"/>
      <c r="G1564" s="8"/>
      <c r="H1564" s="8"/>
      <c r="I1564" s="8"/>
      <c r="J1564" s="8"/>
    </row>
    <row r="1565" spans="1:11" s="1" customFormat="1" ht="25.5" customHeight="1" x14ac:dyDescent="0.2">
      <c r="A1565" s="8"/>
      <c r="B1565" s="9" t="s">
        <v>1238</v>
      </c>
      <c r="C1565" s="137" t="s">
        <v>1239</v>
      </c>
      <c r="D1565" s="138"/>
      <c r="E1565" s="8"/>
      <c r="F1565" s="8"/>
      <c r="G1565" s="8"/>
      <c r="H1565" s="8"/>
      <c r="I1565" s="8"/>
      <c r="J1565" s="8"/>
    </row>
    <row r="1566" spans="1:11" s="1" customFormat="1" ht="25.5" customHeight="1" x14ac:dyDescent="0.2">
      <c r="A1566" s="10">
        <v>96523</v>
      </c>
      <c r="B1566" s="21">
        <v>46388</v>
      </c>
      <c r="C1566" s="139" t="s">
        <v>1240</v>
      </c>
      <c r="D1566" s="140"/>
      <c r="E1566" s="11" t="s">
        <v>14</v>
      </c>
      <c r="F1566" s="12">
        <v>43.47</v>
      </c>
      <c r="G1566" s="12">
        <v>59.37</v>
      </c>
      <c r="H1566" s="12">
        <v>75.75</v>
      </c>
      <c r="I1566" s="13">
        <f t="shared" ref="I1566:I1578" si="138">F1566*G1566</f>
        <v>2580.8138999999996</v>
      </c>
      <c r="J1566" s="13">
        <f t="shared" ref="J1566:J1578" si="139">F1566*H1566</f>
        <v>3292.8525</v>
      </c>
    </row>
    <row r="1567" spans="1:11" s="1" customFormat="1" ht="25.5" customHeight="1" x14ac:dyDescent="0.2">
      <c r="A1567" s="10">
        <v>96616</v>
      </c>
      <c r="B1567" s="21">
        <v>46389</v>
      </c>
      <c r="C1567" s="139" t="s">
        <v>1241</v>
      </c>
      <c r="D1567" s="140"/>
      <c r="E1567" s="16" t="s">
        <v>171</v>
      </c>
      <c r="F1567" s="12">
        <v>2.0699999999999998</v>
      </c>
      <c r="G1567" s="12">
        <v>395.1</v>
      </c>
      <c r="H1567" s="12">
        <v>504.11</v>
      </c>
      <c r="I1567" s="13">
        <f t="shared" si="138"/>
        <v>817.85699999999997</v>
      </c>
      <c r="J1567" s="13">
        <f t="shared" si="139"/>
        <v>1043.5076999999999</v>
      </c>
    </row>
    <row r="1568" spans="1:11" s="1" customFormat="1" ht="25.5" customHeight="1" x14ac:dyDescent="0.2">
      <c r="A1568" s="10">
        <v>95592</v>
      </c>
      <c r="B1568" s="21">
        <v>46390</v>
      </c>
      <c r="C1568" s="139" t="s">
        <v>1242</v>
      </c>
      <c r="D1568" s="140"/>
      <c r="E1568" s="11" t="s">
        <v>35</v>
      </c>
      <c r="F1568" s="13">
        <v>1051.68</v>
      </c>
      <c r="G1568" s="12">
        <v>12.22</v>
      </c>
      <c r="H1568" s="12">
        <v>15.59</v>
      </c>
      <c r="I1568" s="13">
        <f t="shared" si="138"/>
        <v>12851.529600000002</v>
      </c>
      <c r="J1568" s="13">
        <f t="shared" si="139"/>
        <v>16395.691200000001</v>
      </c>
    </row>
    <row r="1569" spans="1:10" s="1" customFormat="1" ht="25.5" customHeight="1" x14ac:dyDescent="0.2">
      <c r="A1569" s="10">
        <v>95585</v>
      </c>
      <c r="B1569" s="21">
        <v>46391</v>
      </c>
      <c r="C1569" s="139" t="s">
        <v>1243</v>
      </c>
      <c r="D1569" s="140"/>
      <c r="E1569" s="11" t="s">
        <v>35</v>
      </c>
      <c r="F1569" s="12">
        <v>1956.11</v>
      </c>
      <c r="G1569" s="12">
        <v>7.67</v>
      </c>
      <c r="H1569" s="12">
        <v>9.7799999999999994</v>
      </c>
      <c r="I1569" s="13">
        <f t="shared" si="138"/>
        <v>15003.3637</v>
      </c>
      <c r="J1569" s="13">
        <f t="shared" si="139"/>
        <v>19130.755799999999</v>
      </c>
    </row>
    <row r="1570" spans="1:10" s="1" customFormat="1" ht="25.5" customHeight="1" x14ac:dyDescent="0.2">
      <c r="A1570" s="10">
        <v>94965</v>
      </c>
      <c r="B1570" s="21">
        <v>46392</v>
      </c>
      <c r="C1570" s="139" t="s">
        <v>1244</v>
      </c>
      <c r="D1570" s="140"/>
      <c r="E1570" s="16" t="s">
        <v>171</v>
      </c>
      <c r="F1570" s="12">
        <v>26.73</v>
      </c>
      <c r="G1570" s="12">
        <v>302.64</v>
      </c>
      <c r="H1570" s="12">
        <v>386.14</v>
      </c>
      <c r="I1570" s="13">
        <f t="shared" si="138"/>
        <v>8089.5671999999995</v>
      </c>
      <c r="J1570" s="13">
        <f t="shared" si="139"/>
        <v>10321.522199999999</v>
      </c>
    </row>
    <row r="1571" spans="1:10" s="1" customFormat="1" ht="25.5" customHeight="1" x14ac:dyDescent="0.2">
      <c r="A1571" s="10">
        <v>92873</v>
      </c>
      <c r="B1571" s="21">
        <v>46393</v>
      </c>
      <c r="C1571" s="139" t="s">
        <v>1245</v>
      </c>
      <c r="D1571" s="140"/>
      <c r="E1571" s="16" t="s">
        <v>171</v>
      </c>
      <c r="F1571" s="12">
        <v>26.73</v>
      </c>
      <c r="G1571" s="12">
        <v>135.94</v>
      </c>
      <c r="H1571" s="12">
        <v>173.44</v>
      </c>
      <c r="I1571" s="13">
        <f t="shared" si="138"/>
        <v>3633.6761999999999</v>
      </c>
      <c r="J1571" s="13">
        <f t="shared" si="139"/>
        <v>4636.0511999999999</v>
      </c>
    </row>
    <row r="1572" spans="1:10" s="1" customFormat="1" ht="25.5" customHeight="1" x14ac:dyDescent="0.2">
      <c r="A1572" s="10">
        <v>96995</v>
      </c>
      <c r="B1572" s="21">
        <v>46394</v>
      </c>
      <c r="C1572" s="139" t="s">
        <v>1246</v>
      </c>
      <c r="D1572" s="140"/>
      <c r="E1572" s="16" t="s">
        <v>171</v>
      </c>
      <c r="F1572" s="39">
        <v>41.112499999999997</v>
      </c>
      <c r="G1572" s="12">
        <v>29.88</v>
      </c>
      <c r="H1572" s="12">
        <v>38.119999999999997</v>
      </c>
      <c r="I1572" s="13">
        <f t="shared" si="138"/>
        <v>1228.4414999999999</v>
      </c>
      <c r="J1572" s="13">
        <f t="shared" si="139"/>
        <v>1567.2084999999997</v>
      </c>
    </row>
    <row r="1573" spans="1:10" s="1" customFormat="1" ht="25.5" customHeight="1" x14ac:dyDescent="0.2">
      <c r="A1573" s="10">
        <v>68054</v>
      </c>
      <c r="B1573" s="21">
        <v>46395</v>
      </c>
      <c r="C1573" s="139" t="s">
        <v>1247</v>
      </c>
      <c r="D1573" s="140"/>
      <c r="E1573" s="11" t="s">
        <v>14</v>
      </c>
      <c r="F1573" s="12">
        <v>15.5</v>
      </c>
      <c r="G1573" s="12">
        <v>181.93</v>
      </c>
      <c r="H1573" s="12">
        <v>232.12</v>
      </c>
      <c r="I1573" s="13">
        <f t="shared" si="138"/>
        <v>2819.915</v>
      </c>
      <c r="J1573" s="13">
        <f t="shared" si="139"/>
        <v>3597.86</v>
      </c>
    </row>
    <row r="1574" spans="1:10" s="1" customFormat="1" ht="25.5" customHeight="1" x14ac:dyDescent="0.2">
      <c r="A1574" s="44">
        <v>87478</v>
      </c>
      <c r="B1574" s="30">
        <v>46396</v>
      </c>
      <c r="C1574" s="139" t="s">
        <v>1248</v>
      </c>
      <c r="D1574" s="140"/>
      <c r="E1574" s="31" t="s">
        <v>14</v>
      </c>
      <c r="F1574" s="32">
        <v>569.25</v>
      </c>
      <c r="G1574" s="32">
        <v>30.11</v>
      </c>
      <c r="H1574" s="32">
        <v>38.42</v>
      </c>
      <c r="I1574" s="13">
        <f t="shared" si="138"/>
        <v>17140.1175</v>
      </c>
      <c r="J1574" s="13">
        <f t="shared" si="139"/>
        <v>21870.585000000003</v>
      </c>
    </row>
    <row r="1575" spans="1:10" s="1" customFormat="1" ht="25.5" customHeight="1" x14ac:dyDescent="0.2">
      <c r="A1575" s="11" t="s">
        <v>1249</v>
      </c>
      <c r="B1575" s="34">
        <v>40205</v>
      </c>
      <c r="C1575" s="139" t="s">
        <v>1250</v>
      </c>
      <c r="D1575" s="140"/>
      <c r="E1575" s="11" t="s">
        <v>14</v>
      </c>
      <c r="F1575" s="12">
        <v>65.25</v>
      </c>
      <c r="G1575" s="12">
        <v>76.17</v>
      </c>
      <c r="H1575" s="12">
        <v>97.18</v>
      </c>
      <c r="I1575" s="13">
        <f t="shared" si="138"/>
        <v>4970.0924999999997</v>
      </c>
      <c r="J1575" s="13">
        <f t="shared" si="139"/>
        <v>6340.9950000000008</v>
      </c>
    </row>
    <row r="1576" spans="1:10" s="1" customFormat="1" ht="25.5" customHeight="1" x14ac:dyDescent="0.2">
      <c r="A1576" s="10">
        <v>87878</v>
      </c>
      <c r="B1576" s="34">
        <v>40570</v>
      </c>
      <c r="C1576" s="139" t="s">
        <v>1251</v>
      </c>
      <c r="D1576" s="140"/>
      <c r="E1576" s="11" t="s">
        <v>14</v>
      </c>
      <c r="F1576" s="12">
        <v>1138.5</v>
      </c>
      <c r="G1576" s="12">
        <v>2.97</v>
      </c>
      <c r="H1576" s="12">
        <v>3.79</v>
      </c>
      <c r="I1576" s="13">
        <f t="shared" si="138"/>
        <v>3381.3450000000003</v>
      </c>
      <c r="J1576" s="13">
        <f t="shared" si="139"/>
        <v>4314.915</v>
      </c>
    </row>
    <row r="1577" spans="1:10" s="1" customFormat="1" ht="25.5" customHeight="1" x14ac:dyDescent="0.2">
      <c r="A1577" s="11" t="s">
        <v>229</v>
      </c>
      <c r="B1577" s="34">
        <v>40935</v>
      </c>
      <c r="C1577" s="139" t="s">
        <v>1252</v>
      </c>
      <c r="D1577" s="140"/>
      <c r="E1577" s="11" t="s">
        <v>14</v>
      </c>
      <c r="F1577" s="12">
        <v>1138.5</v>
      </c>
      <c r="G1577" s="12">
        <v>21.63</v>
      </c>
      <c r="H1577" s="12">
        <v>27.59</v>
      </c>
      <c r="I1577" s="13">
        <f t="shared" si="138"/>
        <v>24625.754999999997</v>
      </c>
      <c r="J1577" s="13">
        <f t="shared" si="139"/>
        <v>31411.215</v>
      </c>
    </row>
    <row r="1578" spans="1:10" s="1" customFormat="1" ht="25.5" customHeight="1" x14ac:dyDescent="0.2">
      <c r="A1578" s="10">
        <v>88489</v>
      </c>
      <c r="B1578" s="34">
        <v>41301</v>
      </c>
      <c r="C1578" s="139" t="s">
        <v>1253</v>
      </c>
      <c r="D1578" s="140"/>
      <c r="E1578" s="11" t="s">
        <v>14</v>
      </c>
      <c r="F1578" s="12">
        <v>1269</v>
      </c>
      <c r="G1578" s="12">
        <v>8.41</v>
      </c>
      <c r="H1578" s="12">
        <v>10.73</v>
      </c>
      <c r="I1578" s="13">
        <f t="shared" si="138"/>
        <v>10672.29</v>
      </c>
      <c r="J1578" s="13">
        <f t="shared" si="139"/>
        <v>13616.37</v>
      </c>
    </row>
    <row r="1579" spans="1:10" s="1" customFormat="1" ht="25.5" customHeight="1" x14ac:dyDescent="0.2">
      <c r="A1579" s="8"/>
      <c r="B1579" s="149" t="s">
        <v>1269</v>
      </c>
      <c r="C1579" s="150"/>
      <c r="D1579" s="150"/>
      <c r="E1579" s="150"/>
      <c r="F1579" s="150"/>
      <c r="G1579" s="151"/>
      <c r="H1579" s="8"/>
      <c r="I1579" s="18">
        <f>SUM(I1566:I1578)</f>
        <v>107814.7641</v>
      </c>
      <c r="J1579" s="18">
        <f>SUM(J1566:J1578)</f>
        <v>137539.52909999999</v>
      </c>
    </row>
    <row r="1580" spans="1:10" s="1" customFormat="1" ht="25.5" customHeight="1" x14ac:dyDescent="0.2">
      <c r="A1580" s="8"/>
      <c r="B1580" s="9" t="s">
        <v>1255</v>
      </c>
      <c r="C1580" s="137" t="s">
        <v>1270</v>
      </c>
      <c r="D1580" s="138"/>
      <c r="E1580" s="8"/>
      <c r="F1580" s="8"/>
      <c r="G1580" s="8"/>
      <c r="H1580" s="8"/>
      <c r="I1580" s="8"/>
      <c r="J1580" s="8"/>
    </row>
    <row r="1581" spans="1:10" s="1" customFormat="1" ht="25.5" customHeight="1" x14ac:dyDescent="0.2">
      <c r="A1581" s="10">
        <v>97627</v>
      </c>
      <c r="B1581" s="21">
        <v>46419</v>
      </c>
      <c r="C1581" s="139" t="s">
        <v>1271</v>
      </c>
      <c r="D1581" s="140"/>
      <c r="E1581" s="16" t="s">
        <v>171</v>
      </c>
      <c r="F1581" s="12">
        <v>16.77</v>
      </c>
      <c r="G1581" s="12">
        <v>184.77</v>
      </c>
      <c r="H1581" s="12">
        <v>235.75</v>
      </c>
      <c r="I1581" s="13">
        <f>F1581*G1581</f>
        <v>3098.5929000000001</v>
      </c>
      <c r="J1581" s="13">
        <f>F1581*H1581</f>
        <v>3953.5274999999997</v>
      </c>
    </row>
    <row r="1582" spans="1:10" s="1" customFormat="1" ht="25.5" customHeight="1" x14ac:dyDescent="0.2">
      <c r="A1582" s="10">
        <v>72897</v>
      </c>
      <c r="B1582" s="21">
        <v>46420</v>
      </c>
      <c r="C1582" s="139" t="s">
        <v>1272</v>
      </c>
      <c r="D1582" s="140"/>
      <c r="E1582" s="16" t="s">
        <v>171</v>
      </c>
      <c r="F1582" s="12">
        <v>20.97</v>
      </c>
      <c r="G1582" s="12">
        <v>16.57</v>
      </c>
      <c r="H1582" s="12">
        <v>21.14</v>
      </c>
      <c r="I1582" s="13">
        <f>F1582*G1582</f>
        <v>347.47289999999998</v>
      </c>
      <c r="J1582" s="13">
        <f>F1582*H1582</f>
        <v>443.30579999999998</v>
      </c>
    </row>
    <row r="1583" spans="1:10" s="1" customFormat="1" ht="25.5" customHeight="1" x14ac:dyDescent="0.2">
      <c r="A1583" s="8"/>
      <c r="B1583" s="149" t="s">
        <v>1273</v>
      </c>
      <c r="C1583" s="150"/>
      <c r="D1583" s="150"/>
      <c r="E1583" s="150"/>
      <c r="F1583" s="150"/>
      <c r="G1583" s="151"/>
      <c r="H1583" s="8"/>
      <c r="I1583" s="18">
        <f>SUM(I1581:I1582)</f>
        <v>3446.0658000000003</v>
      </c>
      <c r="J1583" s="18">
        <f>SUM(J1581:J1582)</f>
        <v>4396.8332999999993</v>
      </c>
    </row>
    <row r="1584" spans="1:10" s="1" customFormat="1" ht="25.5" customHeight="1" x14ac:dyDescent="0.2">
      <c r="A1584" s="8"/>
      <c r="B1584" s="46"/>
      <c r="C1584" s="153"/>
      <c r="D1584" s="154"/>
      <c r="E1584" s="8"/>
      <c r="F1584" s="8"/>
      <c r="G1584" s="8"/>
      <c r="H1584" s="8"/>
      <c r="I1584" s="8"/>
      <c r="J1584" s="8"/>
    </row>
    <row r="1585" spans="1:11" s="1" customFormat="1" ht="25.5" customHeight="1" x14ac:dyDescent="0.2">
      <c r="A1585" s="8"/>
      <c r="B1585" s="46"/>
      <c r="C1585" s="153"/>
      <c r="D1585" s="154"/>
      <c r="E1585" s="8"/>
      <c r="F1585" s="8"/>
      <c r="G1585" s="8"/>
      <c r="H1585" s="8"/>
      <c r="I1585" s="8"/>
      <c r="J1585" s="8"/>
    </row>
    <row r="1586" spans="1:11" s="1" customFormat="1" ht="25.5" customHeight="1" x14ac:dyDescent="0.2">
      <c r="A1586" s="8"/>
      <c r="B1586" s="46"/>
      <c r="C1586" s="153"/>
      <c r="D1586" s="154"/>
      <c r="E1586" s="8"/>
      <c r="F1586" s="8"/>
      <c r="G1586" s="8"/>
      <c r="H1586" s="8"/>
      <c r="I1586" s="8"/>
      <c r="J1586" s="8"/>
    </row>
    <row r="1587" spans="1:11" s="1" customFormat="1" ht="25.5" customHeight="1" x14ac:dyDescent="0.2">
      <c r="A1587" s="8"/>
      <c r="B1587" s="149" t="s">
        <v>1260</v>
      </c>
      <c r="C1587" s="150"/>
      <c r="D1587" s="150"/>
      <c r="E1587" s="150"/>
      <c r="F1587" s="150"/>
      <c r="G1587" s="151"/>
      <c r="H1587" s="8"/>
      <c r="I1587" s="14">
        <f>SUM(I1583,I1579,)-8.18</f>
        <v>111252.6499</v>
      </c>
      <c r="J1587" s="15">
        <f>SUM(J1583,J1579)+10.9</f>
        <v>141947.26239999998</v>
      </c>
      <c r="K1587" s="49"/>
    </row>
    <row r="1588" spans="1:11" s="1" customFormat="1" ht="25.5" customHeight="1" x14ac:dyDescent="0.2">
      <c r="A1588" s="35"/>
      <c r="B1588" s="149" t="s">
        <v>1261</v>
      </c>
      <c r="C1588" s="150"/>
      <c r="D1588" s="150"/>
      <c r="E1588" s="150"/>
      <c r="F1588" s="150"/>
      <c r="G1588" s="151"/>
      <c r="H1588" s="35"/>
      <c r="I1588" s="18">
        <f>SUM(I1587,I1562,I1558,I1542,I1504,I1481,I1408,I1247,I1172,I1153,I1126,I1100,I1095,I1039,I973,I950,I935,I929,I920,I903,I898,I890,I886,I846,I836,I814,I802)-9.99</f>
        <v>1404494.6165</v>
      </c>
      <c r="J1588" s="18">
        <f>SUM(J1587,J1562,J1558,J1542,J1504,J1481,J1408,J1247,J1172,J1153,J1126,J1100,J1095,J1039,J973,J950,J935,J929,J920,J903,J898,J890,J886,J846,J836,J814,J802)-0.18</f>
        <v>1791994.6686999998</v>
      </c>
      <c r="K1588" s="49"/>
    </row>
    <row r="1589" spans="1:11" s="1" customFormat="1" ht="25.5" customHeight="1" x14ac:dyDescent="0.2">
      <c r="A1589" s="139" t="s">
        <v>1276</v>
      </c>
      <c r="B1589" s="141"/>
      <c r="C1589" s="141"/>
      <c r="D1589" s="140"/>
      <c r="E1589" s="139" t="s">
        <v>1277</v>
      </c>
      <c r="F1589" s="141"/>
      <c r="G1589" s="141"/>
      <c r="H1589" s="141"/>
      <c r="I1589" s="141"/>
      <c r="J1589" s="140"/>
    </row>
    <row r="1590" spans="1:11" s="1" customFormat="1" ht="25.5" customHeight="1" x14ac:dyDescent="0.2">
      <c r="A1590" s="142" t="s">
        <v>2</v>
      </c>
      <c r="B1590" s="143"/>
      <c r="C1590" s="144">
        <v>25074</v>
      </c>
      <c r="D1590" s="145"/>
      <c r="E1590" s="2" t="s">
        <v>3</v>
      </c>
      <c r="F1590" s="146">
        <v>0.27589999999999998</v>
      </c>
      <c r="G1590" s="147"/>
      <c r="H1590" s="147"/>
      <c r="I1590" s="147"/>
      <c r="J1590" s="148"/>
    </row>
    <row r="1591" spans="1:11" s="1" customFormat="1" ht="25.5" customHeight="1" x14ac:dyDescent="0.2">
      <c r="A1591" s="3" t="s">
        <v>166</v>
      </c>
      <c r="B1591" s="4" t="s">
        <v>4</v>
      </c>
      <c r="C1591" s="135" t="s">
        <v>5</v>
      </c>
      <c r="D1591" s="136"/>
      <c r="E1591" s="5" t="s">
        <v>6</v>
      </c>
      <c r="F1591" s="5" t="s">
        <v>7</v>
      </c>
      <c r="G1591" s="6" t="s">
        <v>167</v>
      </c>
      <c r="H1591" s="7" t="s">
        <v>168</v>
      </c>
      <c r="I1591" s="6" t="s">
        <v>169</v>
      </c>
      <c r="J1591" s="6" t="s">
        <v>170</v>
      </c>
    </row>
    <row r="1592" spans="1:11" s="1" customFormat="1" ht="25.5" customHeight="1" x14ac:dyDescent="0.2">
      <c r="A1592" s="8"/>
      <c r="B1592" s="9" t="s">
        <v>8</v>
      </c>
      <c r="C1592" s="137" t="s">
        <v>9</v>
      </c>
      <c r="D1592" s="138"/>
      <c r="E1592" s="8"/>
      <c r="F1592" s="8"/>
      <c r="G1592" s="8"/>
      <c r="H1592" s="8"/>
      <c r="I1592" s="8"/>
      <c r="J1592" s="8"/>
    </row>
    <row r="1593" spans="1:11" s="1" customFormat="1" ht="25.5" customHeight="1" x14ac:dyDescent="0.2">
      <c r="A1593" s="8"/>
      <c r="B1593" s="9" t="s">
        <v>10</v>
      </c>
      <c r="C1593" s="137" t="s">
        <v>11</v>
      </c>
      <c r="D1593" s="138"/>
      <c r="E1593" s="8"/>
      <c r="F1593" s="8"/>
      <c r="G1593" s="8"/>
      <c r="H1593" s="8"/>
      <c r="I1593" s="8"/>
      <c r="J1593" s="8"/>
    </row>
    <row r="1594" spans="1:11" s="1" customFormat="1" ht="25.5" customHeight="1" x14ac:dyDescent="0.2">
      <c r="A1594" s="10">
        <v>93207</v>
      </c>
      <c r="B1594" s="11" t="s">
        <v>12</v>
      </c>
      <c r="C1594" s="139" t="s">
        <v>13</v>
      </c>
      <c r="D1594" s="140"/>
      <c r="E1594" s="11" t="s">
        <v>14</v>
      </c>
      <c r="F1594" s="12">
        <v>25.41</v>
      </c>
      <c r="G1594" s="12">
        <v>597.70000000000005</v>
      </c>
      <c r="H1594" s="12">
        <v>762.6</v>
      </c>
      <c r="I1594" s="13">
        <f>F1594*G1594</f>
        <v>15187.557000000001</v>
      </c>
      <c r="J1594" s="13">
        <f>F1594*H1594</f>
        <v>19377.666000000001</v>
      </c>
    </row>
    <row r="1595" spans="1:11" s="1" customFormat="1" ht="25.5" customHeight="1" x14ac:dyDescent="0.2">
      <c r="A1595" s="11" t="s">
        <v>15</v>
      </c>
      <c r="B1595" s="11" t="s">
        <v>16</v>
      </c>
      <c r="C1595" s="139" t="s">
        <v>17</v>
      </c>
      <c r="D1595" s="140"/>
      <c r="E1595" s="11" t="s">
        <v>14</v>
      </c>
      <c r="F1595" s="12">
        <v>3</v>
      </c>
      <c r="G1595" s="12">
        <v>256.73</v>
      </c>
      <c r="H1595" s="12">
        <v>327.57</v>
      </c>
      <c r="I1595" s="13">
        <f>F1595*G1595</f>
        <v>770.19</v>
      </c>
      <c r="J1595" s="13">
        <f>F1595*H1595</f>
        <v>982.71</v>
      </c>
    </row>
    <row r="1596" spans="1:11" s="1" customFormat="1" ht="25.5" customHeight="1" x14ac:dyDescent="0.2">
      <c r="A1596" s="10">
        <v>92235</v>
      </c>
      <c r="B1596" s="11" t="s">
        <v>18</v>
      </c>
      <c r="C1596" s="139" t="s">
        <v>19</v>
      </c>
      <c r="D1596" s="140"/>
      <c r="E1596" s="11" t="s">
        <v>14</v>
      </c>
      <c r="F1596" s="12">
        <v>650</v>
      </c>
      <c r="G1596" s="12">
        <v>49.62</v>
      </c>
      <c r="H1596" s="12">
        <v>63.31</v>
      </c>
      <c r="I1596" s="13">
        <f>F1596*G1596</f>
        <v>32253</v>
      </c>
      <c r="J1596" s="13">
        <f>F1596*H1596</f>
        <v>41151.5</v>
      </c>
    </row>
    <row r="1597" spans="1:11" s="1" customFormat="1" ht="25.5" customHeight="1" x14ac:dyDescent="0.2">
      <c r="A1597" s="11" t="s">
        <v>20</v>
      </c>
      <c r="B1597" s="11" t="s">
        <v>21</v>
      </c>
      <c r="C1597" s="139" t="s">
        <v>22</v>
      </c>
      <c r="D1597" s="140"/>
      <c r="E1597" s="11" t="s">
        <v>23</v>
      </c>
      <c r="F1597" s="13">
        <v>1118.48</v>
      </c>
      <c r="G1597" s="12">
        <v>5.2</v>
      </c>
      <c r="H1597" s="12">
        <v>6.64</v>
      </c>
      <c r="I1597" s="13">
        <f>F1597*G1597</f>
        <v>5816.0960000000005</v>
      </c>
      <c r="J1597" s="13">
        <f>F1597*H1597</f>
        <v>7426.7071999999998</v>
      </c>
    </row>
    <row r="1598" spans="1:11" s="1" customFormat="1" ht="25.5" customHeight="1" x14ac:dyDescent="0.2">
      <c r="A1598" s="8"/>
      <c r="B1598" s="149" t="s">
        <v>24</v>
      </c>
      <c r="C1598" s="150"/>
      <c r="D1598" s="150"/>
      <c r="E1598" s="150"/>
      <c r="F1598" s="150"/>
      <c r="G1598" s="151"/>
      <c r="H1598" s="8"/>
      <c r="I1598" s="14">
        <f>SUM(I1594:I1597)+0.05</f>
        <v>54026.893000000004</v>
      </c>
      <c r="J1598" s="15">
        <f>SUM(J1594:J1597)-5.5</f>
        <v>68933.083200000008</v>
      </c>
    </row>
    <row r="1599" spans="1:11" s="1" customFormat="1" ht="25.5" customHeight="1" x14ac:dyDescent="0.2">
      <c r="A1599" s="8"/>
      <c r="B1599" s="9" t="s">
        <v>25</v>
      </c>
      <c r="C1599" s="137" t="s">
        <v>26</v>
      </c>
      <c r="D1599" s="138"/>
      <c r="E1599" s="8"/>
      <c r="F1599" s="8"/>
      <c r="G1599" s="8"/>
      <c r="H1599" s="8"/>
      <c r="I1599" s="8"/>
      <c r="J1599" s="8"/>
    </row>
    <row r="1600" spans="1:11" s="1" customFormat="1" ht="25.5" customHeight="1" x14ac:dyDescent="0.2">
      <c r="A1600" s="8"/>
      <c r="B1600" s="9" t="s">
        <v>27</v>
      </c>
      <c r="C1600" s="137" t="s">
        <v>1262</v>
      </c>
      <c r="D1600" s="138"/>
      <c r="E1600" s="8"/>
      <c r="F1600" s="8"/>
      <c r="G1600" s="8"/>
      <c r="H1600" s="8"/>
      <c r="I1600" s="8"/>
      <c r="J1600" s="8"/>
    </row>
    <row r="1601" spans="1:10" s="1" customFormat="1" ht="25.5" customHeight="1" x14ac:dyDescent="0.2">
      <c r="A1601" s="10">
        <v>94965</v>
      </c>
      <c r="B1601" s="11" t="s">
        <v>29</v>
      </c>
      <c r="C1601" s="139" t="s">
        <v>30</v>
      </c>
      <c r="D1601" s="140"/>
      <c r="E1601" s="16" t="s">
        <v>171</v>
      </c>
      <c r="F1601" s="12">
        <v>7.82</v>
      </c>
      <c r="G1601" s="12">
        <v>302.64</v>
      </c>
      <c r="H1601" s="12">
        <v>386.14</v>
      </c>
      <c r="I1601" s="13">
        <f>F1601*G1601</f>
        <v>2366.6448</v>
      </c>
      <c r="J1601" s="13">
        <f>F1601*H1601</f>
        <v>3019.6147999999998</v>
      </c>
    </row>
    <row r="1602" spans="1:10" s="1" customFormat="1" ht="25.5" customHeight="1" x14ac:dyDescent="0.2">
      <c r="A1602" s="10">
        <v>92873</v>
      </c>
      <c r="B1602" s="11" t="s">
        <v>31</v>
      </c>
      <c r="C1602" s="139" t="s">
        <v>32</v>
      </c>
      <c r="D1602" s="140"/>
      <c r="E1602" s="16" t="s">
        <v>171</v>
      </c>
      <c r="F1602" s="12">
        <v>7.82</v>
      </c>
      <c r="G1602" s="12">
        <v>135.94</v>
      </c>
      <c r="H1602" s="12">
        <v>173.44</v>
      </c>
      <c r="I1602" s="13">
        <f>F1602*G1602</f>
        <v>1063.0508</v>
      </c>
      <c r="J1602" s="13">
        <f>F1602*H1602</f>
        <v>1356.3008</v>
      </c>
    </row>
    <row r="1603" spans="1:10" s="1" customFormat="1" ht="25.5" customHeight="1" x14ac:dyDescent="0.2">
      <c r="A1603" s="10">
        <v>92762</v>
      </c>
      <c r="B1603" s="11" t="s">
        <v>33</v>
      </c>
      <c r="C1603" s="139" t="s">
        <v>34</v>
      </c>
      <c r="D1603" s="140"/>
      <c r="E1603" s="11" t="s">
        <v>35</v>
      </c>
      <c r="F1603" s="12">
        <v>106.97</v>
      </c>
      <c r="G1603" s="12">
        <v>5.86</v>
      </c>
      <c r="H1603" s="12">
        <v>7.48</v>
      </c>
      <c r="I1603" s="13">
        <f>F1603*G1603</f>
        <v>626.8442</v>
      </c>
      <c r="J1603" s="13">
        <f>F1603*H1603</f>
        <v>800.13560000000007</v>
      </c>
    </row>
    <row r="1604" spans="1:10" s="1" customFormat="1" ht="25.5" customHeight="1" x14ac:dyDescent="0.2">
      <c r="A1604" s="10">
        <v>96523</v>
      </c>
      <c r="B1604" s="11" t="s">
        <v>36</v>
      </c>
      <c r="C1604" s="139" t="s">
        <v>37</v>
      </c>
      <c r="D1604" s="140"/>
      <c r="E1604" s="16" t="s">
        <v>171</v>
      </c>
      <c r="F1604" s="12">
        <v>17.05</v>
      </c>
      <c r="G1604" s="12">
        <v>59.37</v>
      </c>
      <c r="H1604" s="12">
        <v>75.75</v>
      </c>
      <c r="I1604" s="13">
        <f>F1604*G1604</f>
        <v>1012.2585</v>
      </c>
      <c r="J1604" s="13">
        <f>F1604*H1604</f>
        <v>1291.5375000000001</v>
      </c>
    </row>
    <row r="1605" spans="1:10" s="1" customFormat="1" ht="25.5" customHeight="1" x14ac:dyDescent="0.2">
      <c r="A1605" s="8"/>
      <c r="B1605" s="9" t="s">
        <v>1263</v>
      </c>
      <c r="C1605" s="137" t="s">
        <v>28</v>
      </c>
      <c r="D1605" s="138"/>
      <c r="E1605" s="8"/>
      <c r="F1605" s="8"/>
      <c r="G1605" s="8"/>
      <c r="H1605" s="8"/>
      <c r="I1605" s="8"/>
      <c r="J1605" s="8"/>
    </row>
    <row r="1606" spans="1:10" s="1" customFormat="1" ht="25.5" customHeight="1" x14ac:dyDescent="0.2">
      <c r="A1606" s="10">
        <v>94965</v>
      </c>
      <c r="B1606" s="11" t="s">
        <v>1264</v>
      </c>
      <c r="C1606" s="139" t="s">
        <v>30</v>
      </c>
      <c r="D1606" s="140"/>
      <c r="E1606" s="16" t="s">
        <v>171</v>
      </c>
      <c r="F1606" s="12">
        <v>6.16</v>
      </c>
      <c r="G1606" s="12">
        <v>302.64</v>
      </c>
      <c r="H1606" s="12">
        <v>386.14</v>
      </c>
      <c r="I1606" s="13">
        <f>F1606*G1606</f>
        <v>1864.2624000000001</v>
      </c>
      <c r="J1606" s="13">
        <f>F1606*H1606</f>
        <v>2378.6224000000002</v>
      </c>
    </row>
    <row r="1607" spans="1:10" s="1" customFormat="1" ht="25.5" customHeight="1" x14ac:dyDescent="0.2">
      <c r="A1607" s="10">
        <v>92873</v>
      </c>
      <c r="B1607" s="11" t="s">
        <v>1265</v>
      </c>
      <c r="C1607" s="139" t="s">
        <v>32</v>
      </c>
      <c r="D1607" s="140"/>
      <c r="E1607" s="16" t="s">
        <v>171</v>
      </c>
      <c r="F1607" s="12">
        <v>6.16</v>
      </c>
      <c r="G1607" s="12">
        <v>135.94</v>
      </c>
      <c r="H1607" s="12">
        <v>173.44</v>
      </c>
      <c r="I1607" s="13">
        <f>F1607*G1607</f>
        <v>837.3904</v>
      </c>
      <c r="J1607" s="13">
        <f>F1607*H1607</f>
        <v>1068.3904</v>
      </c>
    </row>
    <row r="1608" spans="1:10" s="1" customFormat="1" ht="25.5" customHeight="1" x14ac:dyDescent="0.2">
      <c r="A1608" s="10">
        <v>92762</v>
      </c>
      <c r="B1608" s="11" t="s">
        <v>1266</v>
      </c>
      <c r="C1608" s="139" t="s">
        <v>34</v>
      </c>
      <c r="D1608" s="140"/>
      <c r="E1608" s="11" t="s">
        <v>35</v>
      </c>
      <c r="F1608" s="12">
        <v>296</v>
      </c>
      <c r="G1608" s="12">
        <v>5.86</v>
      </c>
      <c r="H1608" s="12">
        <v>7.48</v>
      </c>
      <c r="I1608" s="13">
        <f>F1608*G1608</f>
        <v>1734.5600000000002</v>
      </c>
      <c r="J1608" s="13">
        <f>F1608*H1608</f>
        <v>2214.08</v>
      </c>
    </row>
    <row r="1609" spans="1:10" s="1" customFormat="1" ht="25.5" customHeight="1" x14ac:dyDescent="0.2">
      <c r="A1609" s="10">
        <v>96523</v>
      </c>
      <c r="B1609" s="11" t="s">
        <v>1267</v>
      </c>
      <c r="C1609" s="139" t="s">
        <v>37</v>
      </c>
      <c r="D1609" s="140"/>
      <c r="E1609" s="16" t="s">
        <v>171</v>
      </c>
      <c r="F1609" s="12">
        <v>88</v>
      </c>
      <c r="G1609" s="12">
        <v>59.37</v>
      </c>
      <c r="H1609" s="12">
        <v>75.75</v>
      </c>
      <c r="I1609" s="13">
        <f>F1609*G1609</f>
        <v>5224.5599999999995</v>
      </c>
      <c r="J1609" s="13">
        <f>F1609*H1609</f>
        <v>6666</v>
      </c>
    </row>
    <row r="1610" spans="1:10" s="1" customFormat="1" ht="25.5" customHeight="1" x14ac:dyDescent="0.2">
      <c r="A1610" s="8"/>
      <c r="B1610" s="149" t="s">
        <v>38</v>
      </c>
      <c r="C1610" s="150"/>
      <c r="D1610" s="150"/>
      <c r="E1610" s="150"/>
      <c r="F1610" s="150"/>
      <c r="G1610" s="151"/>
      <c r="H1610" s="8"/>
      <c r="I1610" s="14">
        <f>SUM(I1601:I1609)-0.1</f>
        <v>14729.471099999999</v>
      </c>
      <c r="J1610" s="17">
        <f>SUM(J1601:J1609)-1.6</f>
        <v>18793.0815</v>
      </c>
    </row>
    <row r="1611" spans="1:10" s="1" customFormat="1" ht="25.5" customHeight="1" x14ac:dyDescent="0.2">
      <c r="A1611" s="8"/>
      <c r="B1611" s="9" t="s">
        <v>39</v>
      </c>
      <c r="C1611" s="137" t="s">
        <v>40</v>
      </c>
      <c r="D1611" s="138"/>
      <c r="E1611" s="8"/>
      <c r="F1611" s="8"/>
      <c r="G1611" s="8"/>
      <c r="H1611" s="8"/>
      <c r="I1611" s="8"/>
      <c r="J1611" s="8"/>
    </row>
    <row r="1612" spans="1:10" s="1" customFormat="1" ht="25.5" customHeight="1" x14ac:dyDescent="0.2">
      <c r="A1612" s="8"/>
      <c r="B1612" s="9" t="s">
        <v>41</v>
      </c>
      <c r="C1612" s="137" t="s">
        <v>42</v>
      </c>
      <c r="D1612" s="138"/>
      <c r="E1612" s="8"/>
      <c r="F1612" s="8"/>
      <c r="G1612" s="8"/>
      <c r="H1612" s="8"/>
      <c r="I1612" s="8"/>
      <c r="J1612" s="8"/>
    </row>
    <row r="1613" spans="1:10" s="1" customFormat="1" ht="25.5" customHeight="1" x14ac:dyDescent="0.2">
      <c r="A1613" s="10">
        <v>92265</v>
      </c>
      <c r="B1613" s="11" t="s">
        <v>43</v>
      </c>
      <c r="C1613" s="139" t="s">
        <v>44</v>
      </c>
      <c r="D1613" s="140"/>
      <c r="E1613" s="11" t="s">
        <v>14</v>
      </c>
      <c r="F1613" s="12">
        <v>142.72</v>
      </c>
      <c r="G1613" s="12">
        <v>60.66</v>
      </c>
      <c r="H1613" s="12">
        <v>77.400000000000006</v>
      </c>
      <c r="I1613" s="13">
        <f>F1613*G1613</f>
        <v>8657.395199999999</v>
      </c>
      <c r="J1613" s="13">
        <f>F1613*H1613</f>
        <v>11046.528</v>
      </c>
    </row>
    <row r="1614" spans="1:10" s="1" customFormat="1" ht="25.5" customHeight="1" x14ac:dyDescent="0.2">
      <c r="A1614" s="10">
        <v>92762</v>
      </c>
      <c r="B1614" s="11" t="s">
        <v>45</v>
      </c>
      <c r="C1614" s="139" t="s">
        <v>46</v>
      </c>
      <c r="D1614" s="140"/>
      <c r="E1614" s="11" t="s">
        <v>35</v>
      </c>
      <c r="F1614" s="12">
        <v>884.82</v>
      </c>
      <c r="G1614" s="12">
        <v>5.86</v>
      </c>
      <c r="H1614" s="12">
        <v>7.48</v>
      </c>
      <c r="I1614" s="13">
        <f>F1614*G1614</f>
        <v>5185.0452000000005</v>
      </c>
      <c r="J1614" s="13">
        <f>F1614*H1614</f>
        <v>6618.4536000000007</v>
      </c>
    </row>
    <row r="1615" spans="1:10" s="1" customFormat="1" ht="25.5" customHeight="1" x14ac:dyDescent="0.2">
      <c r="A1615" s="10">
        <v>94965</v>
      </c>
      <c r="B1615" s="11" t="s">
        <v>47</v>
      </c>
      <c r="C1615" s="139" t="s">
        <v>30</v>
      </c>
      <c r="D1615" s="140"/>
      <c r="E1615" s="11" t="s">
        <v>48</v>
      </c>
      <c r="F1615" s="12">
        <v>10.88</v>
      </c>
      <c r="G1615" s="12">
        <v>302.64</v>
      </c>
      <c r="H1615" s="12">
        <v>386.14</v>
      </c>
      <c r="I1615" s="13">
        <f>F1615*G1615</f>
        <v>3292.7231999999999</v>
      </c>
      <c r="J1615" s="13">
        <f>F1615*H1615</f>
        <v>4201.2031999999999</v>
      </c>
    </row>
    <row r="1616" spans="1:10" s="1" customFormat="1" ht="25.5" customHeight="1" x14ac:dyDescent="0.2">
      <c r="A1616" s="10">
        <v>92873</v>
      </c>
      <c r="B1616" s="11" t="s">
        <v>49</v>
      </c>
      <c r="C1616" s="139" t="s">
        <v>32</v>
      </c>
      <c r="D1616" s="140"/>
      <c r="E1616" s="11" t="s">
        <v>48</v>
      </c>
      <c r="F1616" s="12">
        <v>10.88</v>
      </c>
      <c r="G1616" s="12">
        <v>135.94</v>
      </c>
      <c r="H1616" s="12">
        <v>173.44</v>
      </c>
      <c r="I1616" s="13">
        <f>F1616*G1616</f>
        <v>1479.0272</v>
      </c>
      <c r="J1616" s="13">
        <f>F1616*H1616</f>
        <v>1887.0272000000002</v>
      </c>
    </row>
    <row r="1617" spans="1:11" s="1" customFormat="1" ht="25.5" customHeight="1" x14ac:dyDescent="0.2">
      <c r="A1617" s="8"/>
      <c r="B1617" s="9" t="s">
        <v>50</v>
      </c>
      <c r="C1617" s="137" t="s">
        <v>51</v>
      </c>
      <c r="D1617" s="138"/>
      <c r="E1617" s="8"/>
      <c r="F1617" s="8"/>
      <c r="G1617" s="8"/>
      <c r="H1617" s="8"/>
      <c r="I1617" s="8"/>
      <c r="J1617" s="8"/>
    </row>
    <row r="1618" spans="1:11" s="1" customFormat="1" ht="25.5" customHeight="1" x14ac:dyDescent="0.2">
      <c r="A1618" s="10">
        <v>92265</v>
      </c>
      <c r="B1618" s="11" t="s">
        <v>52</v>
      </c>
      <c r="C1618" s="139" t="s">
        <v>44</v>
      </c>
      <c r="D1618" s="140"/>
      <c r="E1618" s="11" t="s">
        <v>14</v>
      </c>
      <c r="F1618" s="13">
        <v>1803.2</v>
      </c>
      <c r="G1618" s="12">
        <v>60.66</v>
      </c>
      <c r="H1618" s="12">
        <v>77.400000000000006</v>
      </c>
      <c r="I1618" s="13">
        <f>F1618*G1618</f>
        <v>109382.11199999999</v>
      </c>
      <c r="J1618" s="13">
        <f>F1618*H1618</f>
        <v>139567.68000000002</v>
      </c>
    </row>
    <row r="1619" spans="1:11" s="1" customFormat="1" ht="25.5" customHeight="1" x14ac:dyDescent="0.2">
      <c r="A1619" s="10">
        <v>92762</v>
      </c>
      <c r="B1619" s="11" t="s">
        <v>53</v>
      </c>
      <c r="C1619" s="139" t="s">
        <v>46</v>
      </c>
      <c r="D1619" s="140"/>
      <c r="E1619" s="11" t="s">
        <v>35</v>
      </c>
      <c r="F1619" s="13">
        <v>6098.63</v>
      </c>
      <c r="G1619" s="12">
        <v>5.86</v>
      </c>
      <c r="H1619" s="12">
        <v>7.48</v>
      </c>
      <c r="I1619" s="13">
        <f>F1619*G1619</f>
        <v>35737.971799999999</v>
      </c>
      <c r="J1619" s="13">
        <f>F1619*H1619</f>
        <v>45617.752400000005</v>
      </c>
    </row>
    <row r="1620" spans="1:11" s="1" customFormat="1" ht="25.5" customHeight="1" x14ac:dyDescent="0.2">
      <c r="A1620" s="10">
        <v>94965</v>
      </c>
      <c r="B1620" s="11" t="s">
        <v>54</v>
      </c>
      <c r="C1620" s="139" t="s">
        <v>30</v>
      </c>
      <c r="D1620" s="140"/>
      <c r="E1620" s="11" t="s">
        <v>48</v>
      </c>
      <c r="F1620" s="12">
        <v>112.67</v>
      </c>
      <c r="G1620" s="12">
        <v>302.64</v>
      </c>
      <c r="H1620" s="12">
        <v>386.14</v>
      </c>
      <c r="I1620" s="13">
        <f>F1620*G1620</f>
        <v>34098.448799999998</v>
      </c>
      <c r="J1620" s="13">
        <f>F1620*H1620</f>
        <v>43506.393799999998</v>
      </c>
    </row>
    <row r="1621" spans="1:11" s="1" customFormat="1" ht="25.5" customHeight="1" x14ac:dyDescent="0.2">
      <c r="A1621" s="10">
        <v>92873</v>
      </c>
      <c r="B1621" s="11" t="s">
        <v>55</v>
      </c>
      <c r="C1621" s="139" t="s">
        <v>32</v>
      </c>
      <c r="D1621" s="140"/>
      <c r="E1621" s="11" t="s">
        <v>48</v>
      </c>
      <c r="F1621" s="12">
        <v>112.67</v>
      </c>
      <c r="G1621" s="12">
        <v>135.94</v>
      </c>
      <c r="H1621" s="12">
        <v>173.44</v>
      </c>
      <c r="I1621" s="13">
        <f>F1621*G1621</f>
        <v>15316.3598</v>
      </c>
      <c r="J1621" s="13">
        <f>F1621*H1621</f>
        <v>19541.484799999998</v>
      </c>
    </row>
    <row r="1622" spans="1:11" s="1" customFormat="1" ht="25.5" customHeight="1" x14ac:dyDescent="0.2">
      <c r="A1622" s="8"/>
      <c r="B1622" s="9" t="s">
        <v>56</v>
      </c>
      <c r="C1622" s="137" t="s">
        <v>57</v>
      </c>
      <c r="D1622" s="138"/>
      <c r="E1622" s="8"/>
      <c r="F1622" s="8"/>
      <c r="G1622" s="8"/>
      <c r="H1622" s="8"/>
      <c r="I1622" s="8"/>
      <c r="J1622" s="8"/>
    </row>
    <row r="1623" spans="1:11" s="1" customFormat="1" ht="25.5" customHeight="1" x14ac:dyDescent="0.2">
      <c r="A1623" s="11" t="s">
        <v>58</v>
      </c>
      <c r="B1623" s="11" t="s">
        <v>59</v>
      </c>
      <c r="C1623" s="139" t="s">
        <v>60</v>
      </c>
      <c r="D1623" s="140"/>
      <c r="E1623" s="11" t="s">
        <v>14</v>
      </c>
      <c r="F1623" s="13">
        <v>1036</v>
      </c>
      <c r="G1623" s="12">
        <v>62.75</v>
      </c>
      <c r="H1623" s="12">
        <v>80.06</v>
      </c>
      <c r="I1623" s="13">
        <f>F1623*G1623</f>
        <v>65009</v>
      </c>
      <c r="J1623" s="13">
        <f>F1623*H1623</f>
        <v>82942.16</v>
      </c>
    </row>
    <row r="1624" spans="1:11" s="1" customFormat="1" ht="25.5" customHeight="1" x14ac:dyDescent="0.2">
      <c r="A1624" s="10">
        <v>92763</v>
      </c>
      <c r="B1624" s="11" t="s">
        <v>61</v>
      </c>
      <c r="C1624" s="139" t="s">
        <v>62</v>
      </c>
      <c r="D1624" s="140"/>
      <c r="E1624" s="11" t="s">
        <v>35</v>
      </c>
      <c r="F1624" s="13">
        <v>3423</v>
      </c>
      <c r="G1624" s="12">
        <v>5.22</v>
      </c>
      <c r="H1624" s="12">
        <v>6.66</v>
      </c>
      <c r="I1624" s="13">
        <f>F1624*G1624</f>
        <v>17868.059999999998</v>
      </c>
      <c r="J1624" s="13">
        <f>F1624*H1624</f>
        <v>22797.18</v>
      </c>
    </row>
    <row r="1625" spans="1:11" s="1" customFormat="1" ht="25.5" customHeight="1" x14ac:dyDescent="0.2">
      <c r="A1625" s="10">
        <v>94965</v>
      </c>
      <c r="B1625" s="11" t="s">
        <v>63</v>
      </c>
      <c r="C1625" s="139" t="s">
        <v>30</v>
      </c>
      <c r="D1625" s="140"/>
      <c r="E1625" s="11" t="s">
        <v>48</v>
      </c>
      <c r="F1625" s="12">
        <v>47.9</v>
      </c>
      <c r="G1625" s="12">
        <v>302.64</v>
      </c>
      <c r="H1625" s="12">
        <v>386.14</v>
      </c>
      <c r="I1625" s="13">
        <f>F1625*G1625</f>
        <v>14496.455999999998</v>
      </c>
      <c r="J1625" s="13">
        <f>F1625*H1625</f>
        <v>18496.106</v>
      </c>
    </row>
    <row r="1626" spans="1:11" s="1" customFormat="1" ht="25.5" customHeight="1" x14ac:dyDescent="0.2">
      <c r="A1626" s="10">
        <v>92873</v>
      </c>
      <c r="B1626" s="11" t="s">
        <v>64</v>
      </c>
      <c r="C1626" s="139" t="s">
        <v>32</v>
      </c>
      <c r="D1626" s="140"/>
      <c r="E1626" s="11" t="s">
        <v>48</v>
      </c>
      <c r="F1626" s="12">
        <v>47.9</v>
      </c>
      <c r="G1626" s="12">
        <v>135.94</v>
      </c>
      <c r="H1626" s="12">
        <v>173.44</v>
      </c>
      <c r="I1626" s="13">
        <f>F1626*G1626</f>
        <v>6511.5259999999998</v>
      </c>
      <c r="J1626" s="13">
        <f>F1626*H1626</f>
        <v>8307.7759999999998</v>
      </c>
    </row>
    <row r="1627" spans="1:11" s="1" customFormat="1" ht="25.5" customHeight="1" x14ac:dyDescent="0.2">
      <c r="A1627" s="8"/>
      <c r="B1627" s="9" t="s">
        <v>65</v>
      </c>
      <c r="C1627" s="137" t="s">
        <v>66</v>
      </c>
      <c r="D1627" s="138"/>
      <c r="E1627" s="8"/>
      <c r="F1627" s="8"/>
      <c r="G1627" s="8"/>
      <c r="H1627" s="8"/>
      <c r="I1627" s="8"/>
      <c r="J1627" s="8"/>
    </row>
    <row r="1628" spans="1:11" s="1" customFormat="1" ht="25.5" customHeight="1" x14ac:dyDescent="0.2">
      <c r="A1628" s="10">
        <v>92265</v>
      </c>
      <c r="B1628" s="11" t="s">
        <v>67</v>
      </c>
      <c r="C1628" s="139" t="s">
        <v>44</v>
      </c>
      <c r="D1628" s="140"/>
      <c r="E1628" s="11" t="s">
        <v>14</v>
      </c>
      <c r="F1628" s="12">
        <v>370.9</v>
      </c>
      <c r="G1628" s="12">
        <v>60.66</v>
      </c>
      <c r="H1628" s="12">
        <v>77.400000000000006</v>
      </c>
      <c r="I1628" s="13">
        <f>F1628*G1628</f>
        <v>22498.793999999998</v>
      </c>
      <c r="J1628" s="13">
        <f>F1628*H1628</f>
        <v>28707.66</v>
      </c>
    </row>
    <row r="1629" spans="1:11" s="1" customFormat="1" ht="25.5" customHeight="1" x14ac:dyDescent="0.2">
      <c r="A1629" s="10">
        <v>92762</v>
      </c>
      <c r="B1629" s="11" t="s">
        <v>68</v>
      </c>
      <c r="C1629" s="139" t="s">
        <v>46</v>
      </c>
      <c r="D1629" s="140"/>
      <c r="E1629" s="11" t="s">
        <v>35</v>
      </c>
      <c r="F1629" s="13">
        <v>6724.2</v>
      </c>
      <c r="G1629" s="12">
        <v>5.86</v>
      </c>
      <c r="H1629" s="12">
        <v>7.48</v>
      </c>
      <c r="I1629" s="13">
        <f>F1629*G1629</f>
        <v>39403.811999999998</v>
      </c>
      <c r="J1629" s="13">
        <f>F1629*H1629</f>
        <v>50297.016000000003</v>
      </c>
    </row>
    <row r="1630" spans="1:11" s="1" customFormat="1" ht="25.5" customHeight="1" x14ac:dyDescent="0.2">
      <c r="A1630" s="10">
        <v>94965</v>
      </c>
      <c r="B1630" s="11" t="s">
        <v>69</v>
      </c>
      <c r="C1630" s="139" t="s">
        <v>30</v>
      </c>
      <c r="D1630" s="140"/>
      <c r="E1630" s="11" t="s">
        <v>48</v>
      </c>
      <c r="F1630" s="12">
        <v>35.9</v>
      </c>
      <c r="G1630" s="12">
        <v>302.64</v>
      </c>
      <c r="H1630" s="12">
        <v>386.14</v>
      </c>
      <c r="I1630" s="13">
        <f>F1630*G1630</f>
        <v>10864.776</v>
      </c>
      <c r="J1630" s="13">
        <f>F1630*H1630</f>
        <v>13862.425999999999</v>
      </c>
    </row>
    <row r="1631" spans="1:11" s="1" customFormat="1" ht="25.5" customHeight="1" x14ac:dyDescent="0.2">
      <c r="A1631" s="10">
        <v>92873</v>
      </c>
      <c r="B1631" s="11" t="s">
        <v>70</v>
      </c>
      <c r="C1631" s="139" t="s">
        <v>32</v>
      </c>
      <c r="D1631" s="140"/>
      <c r="E1631" s="11" t="s">
        <v>48</v>
      </c>
      <c r="F1631" s="12">
        <v>35.9</v>
      </c>
      <c r="G1631" s="12">
        <v>135.94</v>
      </c>
      <c r="H1631" s="12">
        <v>173.44</v>
      </c>
      <c r="I1631" s="13">
        <f>F1631*G1631</f>
        <v>4880.2460000000001</v>
      </c>
      <c r="J1631" s="13">
        <f>F1631*H1631</f>
        <v>6226.4960000000001</v>
      </c>
    </row>
    <row r="1632" spans="1:11" s="1" customFormat="1" ht="25.5" customHeight="1" x14ac:dyDescent="0.2">
      <c r="A1632" s="8"/>
      <c r="B1632" s="149" t="s">
        <v>71</v>
      </c>
      <c r="C1632" s="150"/>
      <c r="D1632" s="150"/>
      <c r="E1632" s="150"/>
      <c r="F1632" s="150"/>
      <c r="G1632" s="151"/>
      <c r="H1632" s="8"/>
      <c r="I1632" s="14">
        <f>SUM(I1613:I1631)-15.98</f>
        <v>394665.7732</v>
      </c>
      <c r="J1632" s="15">
        <f>SUM(J1613:J1631)-69.29</f>
        <v>503554.0529999999</v>
      </c>
      <c r="K1632" s="49">
        <f>J1632-503554.05</f>
        <v>2.9999999096617103E-3</v>
      </c>
    </row>
    <row r="1633" spans="1:10" s="1" customFormat="1" ht="25.5" customHeight="1" x14ac:dyDescent="0.2">
      <c r="A1633" s="8"/>
      <c r="B1633" s="9" t="s">
        <v>72</v>
      </c>
      <c r="C1633" s="137" t="s">
        <v>73</v>
      </c>
      <c r="D1633" s="138"/>
      <c r="E1633" s="8"/>
      <c r="F1633" s="8"/>
      <c r="G1633" s="8"/>
      <c r="H1633" s="8"/>
      <c r="I1633" s="8"/>
      <c r="J1633" s="8"/>
    </row>
    <row r="1634" spans="1:10" s="1" customFormat="1" ht="25.5" customHeight="1" x14ac:dyDescent="0.2">
      <c r="A1634" s="8"/>
      <c r="B1634" s="11" t="s">
        <v>74</v>
      </c>
      <c r="C1634" s="137" t="s">
        <v>75</v>
      </c>
      <c r="D1634" s="138"/>
      <c r="E1634" s="8"/>
      <c r="F1634" s="8"/>
      <c r="G1634" s="8"/>
      <c r="H1634" s="8"/>
      <c r="I1634" s="8"/>
      <c r="J1634" s="8"/>
    </row>
    <row r="1635" spans="1:10" s="1" customFormat="1" ht="25.5" customHeight="1" x14ac:dyDescent="0.2">
      <c r="A1635" s="11" t="s">
        <v>78</v>
      </c>
      <c r="B1635" s="11" t="s">
        <v>76</v>
      </c>
      <c r="C1635" s="139" t="s">
        <v>1274</v>
      </c>
      <c r="D1635" s="140"/>
      <c r="E1635" s="11" t="s">
        <v>81</v>
      </c>
      <c r="F1635" s="12">
        <v>129.71</v>
      </c>
      <c r="G1635" s="12">
        <v>7.91</v>
      </c>
      <c r="H1635" s="12">
        <v>10.09</v>
      </c>
      <c r="I1635" s="13">
        <f t="shared" ref="I1635:I1642" si="140">F1635*G1635</f>
        <v>1026.0061000000001</v>
      </c>
      <c r="J1635" s="13">
        <f t="shared" ref="J1635:J1642" si="141">F1635*H1635</f>
        <v>1308.7739000000001</v>
      </c>
    </row>
    <row r="1636" spans="1:10" s="1" customFormat="1" ht="25.5" customHeight="1" x14ac:dyDescent="0.2">
      <c r="A1636" s="10">
        <v>87479</v>
      </c>
      <c r="B1636" s="11" t="s">
        <v>79</v>
      </c>
      <c r="C1636" s="139" t="s">
        <v>77</v>
      </c>
      <c r="D1636" s="140"/>
      <c r="E1636" s="11" t="s">
        <v>14</v>
      </c>
      <c r="F1636" s="12">
        <v>606.54999999999995</v>
      </c>
      <c r="G1636" s="12">
        <v>41.64</v>
      </c>
      <c r="H1636" s="12">
        <v>53.13</v>
      </c>
      <c r="I1636" s="13">
        <f t="shared" si="140"/>
        <v>25256.741999999998</v>
      </c>
      <c r="J1636" s="13">
        <f t="shared" si="141"/>
        <v>32226.001499999998</v>
      </c>
    </row>
    <row r="1637" spans="1:10" s="1" customFormat="1" ht="25.5" customHeight="1" x14ac:dyDescent="0.2">
      <c r="A1637" s="11" t="s">
        <v>78</v>
      </c>
      <c r="B1637" s="11" t="s">
        <v>83</v>
      </c>
      <c r="C1637" s="139" t="s">
        <v>80</v>
      </c>
      <c r="D1637" s="140"/>
      <c r="E1637" s="11" t="s">
        <v>81</v>
      </c>
      <c r="F1637" s="12">
        <v>650</v>
      </c>
      <c r="G1637" s="12">
        <v>7.91</v>
      </c>
      <c r="H1637" s="12">
        <v>10.09</v>
      </c>
      <c r="I1637" s="13">
        <f t="shared" si="140"/>
        <v>5141.5</v>
      </c>
      <c r="J1637" s="13">
        <f t="shared" si="141"/>
        <v>6558.5</v>
      </c>
    </row>
    <row r="1638" spans="1:10" s="1" customFormat="1" ht="25.5" customHeight="1" x14ac:dyDescent="0.2">
      <c r="A1638" s="11" t="s">
        <v>82</v>
      </c>
      <c r="B1638" s="11" t="s">
        <v>86</v>
      </c>
      <c r="C1638" s="139" t="s">
        <v>84</v>
      </c>
      <c r="D1638" s="140"/>
      <c r="E1638" s="11" t="s">
        <v>14</v>
      </c>
      <c r="F1638" s="12">
        <v>27.15</v>
      </c>
      <c r="G1638" s="12">
        <v>53.52</v>
      </c>
      <c r="H1638" s="12">
        <v>68.290000000000006</v>
      </c>
      <c r="I1638" s="13">
        <f t="shared" si="140"/>
        <v>1453.068</v>
      </c>
      <c r="J1638" s="13">
        <f t="shared" si="141"/>
        <v>1854.0735</v>
      </c>
    </row>
    <row r="1639" spans="1:10" s="1" customFormat="1" ht="25.5" customHeight="1" x14ac:dyDescent="0.2">
      <c r="A1639" s="11" t="s">
        <v>85</v>
      </c>
      <c r="B1639" s="11" t="s">
        <v>89</v>
      </c>
      <c r="C1639" s="139" t="s">
        <v>87</v>
      </c>
      <c r="D1639" s="140"/>
      <c r="E1639" s="11" t="s">
        <v>14</v>
      </c>
      <c r="F1639" s="12">
        <v>45.99</v>
      </c>
      <c r="G1639" s="12">
        <v>203.72</v>
      </c>
      <c r="H1639" s="12">
        <v>259.93</v>
      </c>
      <c r="I1639" s="13">
        <f t="shared" si="140"/>
        <v>9369.0828000000001</v>
      </c>
      <c r="J1639" s="13">
        <f t="shared" si="141"/>
        <v>11954.180700000001</v>
      </c>
    </row>
    <row r="1640" spans="1:10" s="1" customFormat="1" ht="25.5" customHeight="1" x14ac:dyDescent="0.2">
      <c r="A1640" s="11" t="s">
        <v>88</v>
      </c>
      <c r="B1640" s="11" t="s">
        <v>91</v>
      </c>
      <c r="C1640" s="139" t="s">
        <v>90</v>
      </c>
      <c r="D1640" s="140"/>
      <c r="E1640" s="11" t="s">
        <v>14</v>
      </c>
      <c r="F1640" s="12">
        <v>52.74</v>
      </c>
      <c r="G1640" s="12">
        <v>310.44</v>
      </c>
      <c r="H1640" s="12">
        <v>396.09</v>
      </c>
      <c r="I1640" s="13">
        <f t="shared" si="140"/>
        <v>16372.605600000001</v>
      </c>
      <c r="J1640" s="13">
        <f t="shared" si="141"/>
        <v>20889.786599999999</v>
      </c>
    </row>
    <row r="1641" spans="1:10" s="1" customFormat="1" ht="25.5" customHeight="1" x14ac:dyDescent="0.2">
      <c r="A1641" s="10">
        <v>93187</v>
      </c>
      <c r="B1641" s="11" t="s">
        <v>93</v>
      </c>
      <c r="C1641" s="139" t="s">
        <v>92</v>
      </c>
      <c r="D1641" s="140"/>
      <c r="E1641" s="11" t="s">
        <v>81</v>
      </c>
      <c r="F1641" s="12">
        <v>228</v>
      </c>
      <c r="G1641" s="12">
        <v>52.6</v>
      </c>
      <c r="H1641" s="12">
        <v>67.11</v>
      </c>
      <c r="I1641" s="13">
        <f t="shared" si="140"/>
        <v>11992.800000000001</v>
      </c>
      <c r="J1641" s="13">
        <f t="shared" si="141"/>
        <v>15301.08</v>
      </c>
    </row>
    <row r="1642" spans="1:10" s="1" customFormat="1" ht="25.5" customHeight="1" x14ac:dyDescent="0.2">
      <c r="A1642" s="10">
        <v>93197</v>
      </c>
      <c r="B1642" s="11" t="s">
        <v>1275</v>
      </c>
      <c r="C1642" s="139" t="s">
        <v>94</v>
      </c>
      <c r="D1642" s="140"/>
      <c r="E1642" s="11" t="s">
        <v>81</v>
      </c>
      <c r="F1642" s="12">
        <v>88.7</v>
      </c>
      <c r="G1642" s="12">
        <v>49.48</v>
      </c>
      <c r="H1642" s="12">
        <v>63.13</v>
      </c>
      <c r="I1642" s="13">
        <f t="shared" si="140"/>
        <v>4388.8760000000002</v>
      </c>
      <c r="J1642" s="13">
        <f t="shared" si="141"/>
        <v>5599.6310000000003</v>
      </c>
    </row>
    <row r="1643" spans="1:10" s="1" customFormat="1" ht="25.5" customHeight="1" x14ac:dyDescent="0.2">
      <c r="A1643" s="8"/>
      <c r="B1643" s="149" t="s">
        <v>95</v>
      </c>
      <c r="C1643" s="150"/>
      <c r="D1643" s="150"/>
      <c r="E1643" s="150"/>
      <c r="F1643" s="150"/>
      <c r="G1643" s="151"/>
      <c r="H1643" s="8"/>
      <c r="I1643" s="14">
        <f>SUM(I1635:I1642)+1.8</f>
        <v>75002.480500000005</v>
      </c>
      <c r="J1643" s="15">
        <f>SUM(J1635:J1642)+3</f>
        <v>95695.027199999997</v>
      </c>
    </row>
    <row r="1644" spans="1:10" s="1" customFormat="1" ht="25.5" customHeight="1" x14ac:dyDescent="0.2">
      <c r="A1644" s="8"/>
      <c r="B1644" s="9" t="s">
        <v>96</v>
      </c>
      <c r="C1644" s="137" t="s">
        <v>97</v>
      </c>
      <c r="D1644" s="138"/>
      <c r="E1644" s="8"/>
      <c r="F1644" s="8"/>
      <c r="G1644" s="8"/>
      <c r="H1644" s="8"/>
      <c r="I1644" s="8"/>
      <c r="J1644" s="8"/>
    </row>
    <row r="1645" spans="1:10" s="1" customFormat="1" ht="25.5" customHeight="1" x14ac:dyDescent="0.2">
      <c r="A1645" s="8"/>
      <c r="B1645" s="11" t="s">
        <v>98</v>
      </c>
      <c r="C1645" s="137" t="s">
        <v>99</v>
      </c>
      <c r="D1645" s="138"/>
      <c r="E1645" s="8"/>
      <c r="F1645" s="8"/>
      <c r="G1645" s="8"/>
      <c r="H1645" s="8"/>
      <c r="I1645" s="8"/>
      <c r="J1645" s="8"/>
    </row>
    <row r="1646" spans="1:10" s="1" customFormat="1" ht="25.5" customHeight="1" x14ac:dyDescent="0.2">
      <c r="A1646" s="10">
        <v>90822</v>
      </c>
      <c r="B1646" s="11" t="s">
        <v>100</v>
      </c>
      <c r="C1646" s="139" t="s">
        <v>101</v>
      </c>
      <c r="D1646" s="140"/>
      <c r="E1646" s="11" t="s">
        <v>102</v>
      </c>
      <c r="F1646" s="12">
        <v>14</v>
      </c>
      <c r="G1646" s="12">
        <v>329.55</v>
      </c>
      <c r="H1646" s="12">
        <v>420.47</v>
      </c>
      <c r="I1646" s="13">
        <f t="shared" ref="I1646:I1652" si="142">F1646*G1646</f>
        <v>4613.7</v>
      </c>
      <c r="J1646" s="13">
        <f t="shared" ref="J1646:J1652" si="143">F1646*H1646</f>
        <v>5886.58</v>
      </c>
    </row>
    <row r="1647" spans="1:10" s="1" customFormat="1" ht="25.5" customHeight="1" x14ac:dyDescent="0.2">
      <c r="A1647" s="11" t="s">
        <v>78</v>
      </c>
      <c r="B1647" s="11" t="s">
        <v>103</v>
      </c>
      <c r="C1647" s="139" t="s">
        <v>104</v>
      </c>
      <c r="D1647" s="140"/>
      <c r="E1647" s="11" t="s">
        <v>102</v>
      </c>
      <c r="F1647" s="12">
        <v>4</v>
      </c>
      <c r="G1647" s="12">
        <v>395.46</v>
      </c>
      <c r="H1647" s="12">
        <v>504.57</v>
      </c>
      <c r="I1647" s="13">
        <f t="shared" si="142"/>
        <v>1581.84</v>
      </c>
      <c r="J1647" s="13">
        <f t="shared" si="143"/>
        <v>2018.28</v>
      </c>
    </row>
    <row r="1648" spans="1:10" s="1" customFormat="1" ht="25.5" customHeight="1" x14ac:dyDescent="0.2">
      <c r="A1648" s="11" t="s">
        <v>78</v>
      </c>
      <c r="B1648" s="11" t="s">
        <v>105</v>
      </c>
      <c r="C1648" s="139" t="s">
        <v>106</v>
      </c>
      <c r="D1648" s="140"/>
      <c r="E1648" s="11" t="s">
        <v>102</v>
      </c>
      <c r="F1648" s="12">
        <v>14</v>
      </c>
      <c r="G1648" s="12">
        <v>222.6</v>
      </c>
      <c r="H1648" s="12">
        <v>284.02</v>
      </c>
      <c r="I1648" s="13">
        <f t="shared" si="142"/>
        <v>3116.4</v>
      </c>
      <c r="J1648" s="13">
        <f t="shared" si="143"/>
        <v>3976.2799999999997</v>
      </c>
    </row>
    <row r="1649" spans="1:10" s="1" customFormat="1" ht="25.5" customHeight="1" x14ac:dyDescent="0.2">
      <c r="A1649" s="11" t="s">
        <v>78</v>
      </c>
      <c r="B1649" s="11" t="s">
        <v>107</v>
      </c>
      <c r="C1649" s="139" t="s">
        <v>108</v>
      </c>
      <c r="D1649" s="140"/>
      <c r="E1649" s="11" t="s">
        <v>102</v>
      </c>
      <c r="F1649" s="12">
        <v>6</v>
      </c>
      <c r="G1649" s="12">
        <v>222.6</v>
      </c>
      <c r="H1649" s="12">
        <v>284.02</v>
      </c>
      <c r="I1649" s="13">
        <f t="shared" si="142"/>
        <v>1335.6</v>
      </c>
      <c r="J1649" s="13">
        <f t="shared" si="143"/>
        <v>1704.12</v>
      </c>
    </row>
    <row r="1650" spans="1:10" s="1" customFormat="1" ht="25.5" customHeight="1" x14ac:dyDescent="0.2">
      <c r="A1650" s="10">
        <v>90820</v>
      </c>
      <c r="B1650" s="11" t="s">
        <v>109</v>
      </c>
      <c r="C1650" s="139" t="s">
        <v>110</v>
      </c>
      <c r="D1650" s="140"/>
      <c r="E1650" s="11" t="s">
        <v>102</v>
      </c>
      <c r="F1650" s="12">
        <v>4</v>
      </c>
      <c r="G1650" s="12">
        <v>308.93</v>
      </c>
      <c r="H1650" s="12">
        <v>394.16</v>
      </c>
      <c r="I1650" s="13">
        <f t="shared" si="142"/>
        <v>1235.72</v>
      </c>
      <c r="J1650" s="13">
        <f t="shared" si="143"/>
        <v>1576.64</v>
      </c>
    </row>
    <row r="1651" spans="1:10" s="1" customFormat="1" ht="25.5" customHeight="1" x14ac:dyDescent="0.2">
      <c r="A1651" s="11" t="s">
        <v>78</v>
      </c>
      <c r="B1651" s="11" t="s">
        <v>111</v>
      </c>
      <c r="C1651" s="139" t="s">
        <v>112</v>
      </c>
      <c r="D1651" s="140"/>
      <c r="E1651" s="11" t="s">
        <v>102</v>
      </c>
      <c r="F1651" s="12">
        <v>18</v>
      </c>
      <c r="G1651" s="12">
        <v>378.98</v>
      </c>
      <c r="H1651" s="12">
        <v>483.54</v>
      </c>
      <c r="I1651" s="13">
        <f t="shared" si="142"/>
        <v>6821.64</v>
      </c>
      <c r="J1651" s="13">
        <f t="shared" si="143"/>
        <v>8703.7200000000012</v>
      </c>
    </row>
    <row r="1652" spans="1:10" s="1" customFormat="1" ht="25.5" customHeight="1" x14ac:dyDescent="0.2">
      <c r="A1652" s="11" t="s">
        <v>78</v>
      </c>
      <c r="B1652" s="11" t="s">
        <v>113</v>
      </c>
      <c r="C1652" s="139" t="s">
        <v>114</v>
      </c>
      <c r="D1652" s="140"/>
      <c r="E1652" s="11" t="s">
        <v>102</v>
      </c>
      <c r="F1652" s="12">
        <v>6</v>
      </c>
      <c r="G1652" s="12">
        <v>421.82</v>
      </c>
      <c r="H1652" s="12">
        <v>538.20000000000005</v>
      </c>
      <c r="I1652" s="13">
        <f t="shared" si="142"/>
        <v>2530.92</v>
      </c>
      <c r="J1652" s="13">
        <f t="shared" si="143"/>
        <v>3229.2000000000003</v>
      </c>
    </row>
    <row r="1653" spans="1:10" s="1" customFormat="1" ht="25.5" customHeight="1" x14ac:dyDescent="0.2">
      <c r="A1653" s="8"/>
      <c r="B1653" s="149" t="s">
        <v>115</v>
      </c>
      <c r="C1653" s="150"/>
      <c r="D1653" s="150"/>
      <c r="E1653" s="150"/>
      <c r="F1653" s="150"/>
      <c r="G1653" s="151"/>
      <c r="H1653" s="8"/>
      <c r="I1653" s="18">
        <f>SUM(I1646:I1652)</f>
        <v>21235.82</v>
      </c>
      <c r="J1653" s="18">
        <f>SUM(J1646:J1652)</f>
        <v>27094.82</v>
      </c>
    </row>
    <row r="1654" spans="1:10" s="1" customFormat="1" ht="25.5" customHeight="1" x14ac:dyDescent="0.2">
      <c r="A1654" s="8"/>
      <c r="B1654" s="9" t="s">
        <v>116</v>
      </c>
      <c r="C1654" s="137" t="s">
        <v>117</v>
      </c>
      <c r="D1654" s="152"/>
      <c r="E1654" s="152"/>
      <c r="F1654" s="152"/>
      <c r="G1654" s="152"/>
      <c r="H1654" s="152"/>
      <c r="I1654" s="138"/>
      <c r="J1654" s="8"/>
    </row>
    <row r="1655" spans="1:10" s="1" customFormat="1" ht="25.5" customHeight="1" x14ac:dyDescent="0.2">
      <c r="A1655" s="8"/>
      <c r="B1655" s="9" t="s">
        <v>118</v>
      </c>
      <c r="C1655" s="137" t="s">
        <v>119</v>
      </c>
      <c r="D1655" s="138"/>
      <c r="E1655" s="8"/>
      <c r="F1655" s="8"/>
      <c r="G1655" s="8"/>
      <c r="H1655" s="8"/>
      <c r="I1655" s="8"/>
      <c r="J1655" s="8"/>
    </row>
    <row r="1656" spans="1:10" s="1" customFormat="1" ht="25.5" customHeight="1" x14ac:dyDescent="0.2">
      <c r="A1656" s="11" t="s">
        <v>120</v>
      </c>
      <c r="B1656" s="11" t="s">
        <v>121</v>
      </c>
      <c r="C1656" s="139" t="s">
        <v>122</v>
      </c>
      <c r="D1656" s="140"/>
      <c r="E1656" s="11" t="s">
        <v>102</v>
      </c>
      <c r="F1656" s="12">
        <v>2</v>
      </c>
      <c r="G1656" s="12">
        <v>329.82</v>
      </c>
      <c r="H1656" s="12">
        <v>420.82</v>
      </c>
      <c r="I1656" s="13">
        <f>F1656*G1656</f>
        <v>659.64</v>
      </c>
      <c r="J1656" s="13">
        <f>F1656*H1656</f>
        <v>841.64</v>
      </c>
    </row>
    <row r="1657" spans="1:10" s="1" customFormat="1" ht="25.5" customHeight="1" x14ac:dyDescent="0.2">
      <c r="A1657" s="8"/>
      <c r="B1657" s="9" t="s">
        <v>123</v>
      </c>
      <c r="C1657" s="137" t="s">
        <v>124</v>
      </c>
      <c r="D1657" s="138"/>
      <c r="E1657" s="8"/>
      <c r="F1657" s="8"/>
      <c r="G1657" s="8"/>
      <c r="H1657" s="8"/>
      <c r="I1657" s="8"/>
      <c r="J1657" s="8"/>
    </row>
    <row r="1658" spans="1:10" s="1" customFormat="1" ht="25.5" customHeight="1" x14ac:dyDescent="0.2">
      <c r="A1658" s="11" t="s">
        <v>78</v>
      </c>
      <c r="B1658" s="11" t="s">
        <v>125</v>
      </c>
      <c r="C1658" s="139" t="s">
        <v>126</v>
      </c>
      <c r="D1658" s="140"/>
      <c r="E1658" s="11" t="s">
        <v>102</v>
      </c>
      <c r="F1658" s="12">
        <v>6</v>
      </c>
      <c r="G1658" s="12">
        <v>179.33</v>
      </c>
      <c r="H1658" s="12">
        <v>228.8</v>
      </c>
      <c r="I1658" s="13">
        <f t="shared" ref="I1658:I1677" si="144">F1658*G1658</f>
        <v>1075.98</v>
      </c>
      <c r="J1658" s="13">
        <f t="shared" ref="J1658:J1677" si="145">F1658*H1658</f>
        <v>1372.8000000000002</v>
      </c>
    </row>
    <row r="1659" spans="1:10" s="1" customFormat="1" ht="25.5" customHeight="1" x14ac:dyDescent="0.2">
      <c r="A1659" s="11" t="s">
        <v>78</v>
      </c>
      <c r="B1659" s="11" t="s">
        <v>127</v>
      </c>
      <c r="C1659" s="139" t="s">
        <v>128</v>
      </c>
      <c r="D1659" s="140"/>
      <c r="E1659" s="11" t="s">
        <v>102</v>
      </c>
      <c r="F1659" s="12">
        <v>15</v>
      </c>
      <c r="G1659" s="12">
        <v>268.98</v>
      </c>
      <c r="H1659" s="12">
        <v>343.2</v>
      </c>
      <c r="I1659" s="13">
        <f t="shared" si="144"/>
        <v>4034.7000000000003</v>
      </c>
      <c r="J1659" s="13">
        <f t="shared" si="145"/>
        <v>5148</v>
      </c>
    </row>
    <row r="1660" spans="1:10" s="1" customFormat="1" ht="25.5" customHeight="1" x14ac:dyDescent="0.2">
      <c r="A1660" s="11" t="s">
        <v>78</v>
      </c>
      <c r="B1660" s="11" t="s">
        <v>129</v>
      </c>
      <c r="C1660" s="139" t="s">
        <v>130</v>
      </c>
      <c r="D1660" s="140"/>
      <c r="E1660" s="11" t="s">
        <v>102</v>
      </c>
      <c r="F1660" s="12">
        <v>2</v>
      </c>
      <c r="G1660" s="12">
        <v>134.49</v>
      </c>
      <c r="H1660" s="12">
        <v>171.59</v>
      </c>
      <c r="I1660" s="13">
        <f t="shared" si="144"/>
        <v>268.98</v>
      </c>
      <c r="J1660" s="13">
        <f t="shared" si="145"/>
        <v>343.18</v>
      </c>
    </row>
    <row r="1661" spans="1:10" s="1" customFormat="1" ht="25.5" customHeight="1" x14ac:dyDescent="0.2">
      <c r="A1661" s="11" t="s">
        <v>78</v>
      </c>
      <c r="B1661" s="11" t="s">
        <v>131</v>
      </c>
      <c r="C1661" s="139" t="s">
        <v>132</v>
      </c>
      <c r="D1661" s="140"/>
      <c r="E1661" s="11" t="s">
        <v>102</v>
      </c>
      <c r="F1661" s="12">
        <v>10</v>
      </c>
      <c r="G1661" s="12">
        <v>313.92</v>
      </c>
      <c r="H1661" s="12">
        <v>400.53</v>
      </c>
      <c r="I1661" s="13">
        <f t="shared" si="144"/>
        <v>3139.2000000000003</v>
      </c>
      <c r="J1661" s="13">
        <f t="shared" si="145"/>
        <v>4005.2999999999997</v>
      </c>
    </row>
    <row r="1662" spans="1:10" s="1" customFormat="1" ht="25.5" customHeight="1" x14ac:dyDescent="0.2">
      <c r="A1662" s="11" t="s">
        <v>78</v>
      </c>
      <c r="B1662" s="11" t="s">
        <v>133</v>
      </c>
      <c r="C1662" s="139" t="s">
        <v>134</v>
      </c>
      <c r="D1662" s="140"/>
      <c r="E1662" s="11" t="s">
        <v>102</v>
      </c>
      <c r="F1662" s="12">
        <v>8</v>
      </c>
      <c r="G1662" s="12">
        <v>627.62</v>
      </c>
      <c r="H1662" s="12">
        <v>800.79</v>
      </c>
      <c r="I1662" s="13">
        <f t="shared" si="144"/>
        <v>5020.96</v>
      </c>
      <c r="J1662" s="13">
        <f t="shared" si="145"/>
        <v>6406.32</v>
      </c>
    </row>
    <row r="1663" spans="1:10" s="1" customFormat="1" ht="25.5" customHeight="1" x14ac:dyDescent="0.2">
      <c r="A1663" s="11" t="s">
        <v>78</v>
      </c>
      <c r="B1663" s="11" t="s">
        <v>135</v>
      </c>
      <c r="C1663" s="139" t="s">
        <v>136</v>
      </c>
      <c r="D1663" s="140"/>
      <c r="E1663" s="11" t="s">
        <v>102</v>
      </c>
      <c r="F1663" s="12">
        <v>2</v>
      </c>
      <c r="G1663" s="12">
        <v>358.64</v>
      </c>
      <c r="H1663" s="12">
        <v>457.59</v>
      </c>
      <c r="I1663" s="13">
        <f t="shared" si="144"/>
        <v>717.28</v>
      </c>
      <c r="J1663" s="13">
        <f t="shared" si="145"/>
        <v>915.18</v>
      </c>
    </row>
    <row r="1664" spans="1:10" s="1" customFormat="1" ht="25.5" customHeight="1" x14ac:dyDescent="0.2">
      <c r="A1664" s="11" t="s">
        <v>78</v>
      </c>
      <c r="B1664" s="11" t="s">
        <v>137</v>
      </c>
      <c r="C1664" s="139" t="s">
        <v>138</v>
      </c>
      <c r="D1664" s="140"/>
      <c r="E1664" s="11" t="s">
        <v>102</v>
      </c>
      <c r="F1664" s="12">
        <v>2</v>
      </c>
      <c r="G1664" s="12">
        <v>448.3</v>
      </c>
      <c r="H1664" s="12">
        <v>571.98</v>
      </c>
      <c r="I1664" s="13">
        <f t="shared" si="144"/>
        <v>896.6</v>
      </c>
      <c r="J1664" s="13">
        <f t="shared" si="145"/>
        <v>1143.96</v>
      </c>
    </row>
    <row r="1665" spans="1:10" s="1" customFormat="1" ht="25.5" customHeight="1" x14ac:dyDescent="0.2">
      <c r="A1665" s="11" t="s">
        <v>78</v>
      </c>
      <c r="B1665" s="11" t="s">
        <v>139</v>
      </c>
      <c r="C1665" s="139" t="s">
        <v>140</v>
      </c>
      <c r="D1665" s="140"/>
      <c r="E1665" s="11" t="s">
        <v>102</v>
      </c>
      <c r="F1665" s="12">
        <v>14</v>
      </c>
      <c r="G1665" s="12">
        <v>124.52</v>
      </c>
      <c r="H1665" s="12">
        <v>158.88</v>
      </c>
      <c r="I1665" s="13">
        <f t="shared" si="144"/>
        <v>1743.28</v>
      </c>
      <c r="J1665" s="13">
        <f t="shared" si="145"/>
        <v>2224.3199999999997</v>
      </c>
    </row>
    <row r="1666" spans="1:10" s="1" customFormat="1" ht="25.5" customHeight="1" x14ac:dyDescent="0.2">
      <c r="A1666" s="11" t="s">
        <v>78</v>
      </c>
      <c r="B1666" s="11" t="s">
        <v>141</v>
      </c>
      <c r="C1666" s="139" t="s">
        <v>142</v>
      </c>
      <c r="D1666" s="140"/>
      <c r="E1666" s="11" t="s">
        <v>102</v>
      </c>
      <c r="F1666" s="12">
        <v>1</v>
      </c>
      <c r="G1666" s="12">
        <v>390.13</v>
      </c>
      <c r="H1666" s="12">
        <v>497.77</v>
      </c>
      <c r="I1666" s="13">
        <f t="shared" si="144"/>
        <v>390.13</v>
      </c>
      <c r="J1666" s="13">
        <f t="shared" si="145"/>
        <v>497.77</v>
      </c>
    </row>
    <row r="1667" spans="1:10" s="1" customFormat="1" ht="25.5" customHeight="1" x14ac:dyDescent="0.2">
      <c r="A1667" s="11" t="s">
        <v>78</v>
      </c>
      <c r="B1667" s="11" t="s">
        <v>143</v>
      </c>
      <c r="C1667" s="139" t="s">
        <v>144</v>
      </c>
      <c r="D1667" s="140"/>
      <c r="E1667" s="11" t="s">
        <v>102</v>
      </c>
      <c r="F1667" s="12">
        <v>1</v>
      </c>
      <c r="G1667" s="12">
        <v>975.33</v>
      </c>
      <c r="H1667" s="13">
        <v>1244.42</v>
      </c>
      <c r="I1667" s="13">
        <f t="shared" si="144"/>
        <v>975.33</v>
      </c>
      <c r="J1667" s="13">
        <f t="shared" si="145"/>
        <v>1244.42</v>
      </c>
    </row>
    <row r="1668" spans="1:10" s="1" customFormat="1" ht="25.5" customHeight="1" x14ac:dyDescent="0.2">
      <c r="A1668" s="11" t="s">
        <v>78</v>
      </c>
      <c r="B1668" s="11" t="s">
        <v>145</v>
      </c>
      <c r="C1668" s="139" t="s">
        <v>146</v>
      </c>
      <c r="D1668" s="140"/>
      <c r="E1668" s="11" t="s">
        <v>102</v>
      </c>
      <c r="F1668" s="12">
        <v>2</v>
      </c>
      <c r="G1668" s="12">
        <v>585.20000000000005</v>
      </c>
      <c r="H1668" s="12">
        <v>746.65</v>
      </c>
      <c r="I1668" s="13">
        <f t="shared" si="144"/>
        <v>1170.4000000000001</v>
      </c>
      <c r="J1668" s="13">
        <f t="shared" si="145"/>
        <v>1493.3</v>
      </c>
    </row>
    <row r="1669" spans="1:10" s="1" customFormat="1" ht="25.5" customHeight="1" x14ac:dyDescent="0.2">
      <c r="A1669" s="11" t="s">
        <v>78</v>
      </c>
      <c r="B1669" s="11" t="s">
        <v>147</v>
      </c>
      <c r="C1669" s="139" t="s">
        <v>148</v>
      </c>
      <c r="D1669" s="140"/>
      <c r="E1669" s="11" t="s">
        <v>102</v>
      </c>
      <c r="F1669" s="12">
        <v>1</v>
      </c>
      <c r="G1669" s="12">
        <v>877.8</v>
      </c>
      <c r="H1669" s="13">
        <v>1119.98</v>
      </c>
      <c r="I1669" s="13">
        <f t="shared" si="144"/>
        <v>877.8</v>
      </c>
      <c r="J1669" s="13">
        <f t="shared" si="145"/>
        <v>1119.98</v>
      </c>
    </row>
    <row r="1670" spans="1:10" s="1" customFormat="1" ht="25.5" customHeight="1" x14ac:dyDescent="0.2">
      <c r="A1670" s="11" t="s">
        <v>78</v>
      </c>
      <c r="B1670" s="11" t="s">
        <v>149</v>
      </c>
      <c r="C1670" s="139" t="s">
        <v>150</v>
      </c>
      <c r="D1670" s="140"/>
      <c r="E1670" s="11" t="s">
        <v>102</v>
      </c>
      <c r="F1670" s="12">
        <v>1</v>
      </c>
      <c r="G1670" s="13">
        <v>1170.4100000000001</v>
      </c>
      <c r="H1670" s="13">
        <v>1493.32</v>
      </c>
      <c r="I1670" s="13">
        <f t="shared" si="144"/>
        <v>1170.4100000000001</v>
      </c>
      <c r="J1670" s="13">
        <f t="shared" si="145"/>
        <v>1493.32</v>
      </c>
    </row>
    <row r="1671" spans="1:10" s="1" customFormat="1" ht="25.5" customHeight="1" x14ac:dyDescent="0.2">
      <c r="A1671" s="11" t="s">
        <v>78</v>
      </c>
      <c r="B1671" s="11" t="s">
        <v>151</v>
      </c>
      <c r="C1671" s="139" t="s">
        <v>152</v>
      </c>
      <c r="D1671" s="140"/>
      <c r="E1671" s="11" t="s">
        <v>102</v>
      </c>
      <c r="F1671" s="12">
        <v>2</v>
      </c>
      <c r="G1671" s="13">
        <v>1560.54</v>
      </c>
      <c r="H1671" s="13">
        <v>1991.09</v>
      </c>
      <c r="I1671" s="13">
        <f t="shared" si="144"/>
        <v>3121.08</v>
      </c>
      <c r="J1671" s="13">
        <f t="shared" si="145"/>
        <v>3982.18</v>
      </c>
    </row>
    <row r="1672" spans="1:10" s="1" customFormat="1" ht="25.5" customHeight="1" x14ac:dyDescent="0.2">
      <c r="A1672" s="11" t="s">
        <v>78</v>
      </c>
      <c r="B1672" s="11" t="s">
        <v>153</v>
      </c>
      <c r="C1672" s="139" t="s">
        <v>154</v>
      </c>
      <c r="D1672" s="140"/>
      <c r="E1672" s="11" t="s">
        <v>102</v>
      </c>
      <c r="F1672" s="12">
        <v>2</v>
      </c>
      <c r="G1672" s="13">
        <v>1950.67</v>
      </c>
      <c r="H1672" s="13">
        <v>2488.86</v>
      </c>
      <c r="I1672" s="13">
        <f t="shared" si="144"/>
        <v>3901.34</v>
      </c>
      <c r="J1672" s="13">
        <f t="shared" si="145"/>
        <v>4977.72</v>
      </c>
    </row>
    <row r="1673" spans="1:10" s="1" customFormat="1" ht="25.5" customHeight="1" x14ac:dyDescent="0.2">
      <c r="A1673" s="11" t="s">
        <v>78</v>
      </c>
      <c r="B1673" s="11" t="s">
        <v>155</v>
      </c>
      <c r="C1673" s="139" t="s">
        <v>156</v>
      </c>
      <c r="D1673" s="140"/>
      <c r="E1673" s="11" t="s">
        <v>102</v>
      </c>
      <c r="F1673" s="12">
        <v>5</v>
      </c>
      <c r="G1673" s="13">
        <v>2340.81</v>
      </c>
      <c r="H1673" s="13">
        <v>2986.64</v>
      </c>
      <c r="I1673" s="13">
        <f t="shared" si="144"/>
        <v>11704.05</v>
      </c>
      <c r="J1673" s="13">
        <f t="shared" si="145"/>
        <v>14933.199999999999</v>
      </c>
    </row>
    <row r="1674" spans="1:10" s="1" customFormat="1" ht="25.5" customHeight="1" x14ac:dyDescent="0.2">
      <c r="A1674" s="11" t="s">
        <v>78</v>
      </c>
      <c r="B1674" s="11" t="s">
        <v>157</v>
      </c>
      <c r="C1674" s="139" t="s">
        <v>158</v>
      </c>
      <c r="D1674" s="140"/>
      <c r="E1674" s="11" t="s">
        <v>102</v>
      </c>
      <c r="F1674" s="12">
        <v>4</v>
      </c>
      <c r="G1674" s="13">
        <v>3121.08</v>
      </c>
      <c r="H1674" s="13">
        <v>3982.19</v>
      </c>
      <c r="I1674" s="13">
        <f t="shared" si="144"/>
        <v>12484.32</v>
      </c>
      <c r="J1674" s="13">
        <f t="shared" si="145"/>
        <v>15928.76</v>
      </c>
    </row>
    <row r="1675" spans="1:10" s="1" customFormat="1" ht="25.5" customHeight="1" x14ac:dyDescent="0.2">
      <c r="A1675" s="11" t="s">
        <v>78</v>
      </c>
      <c r="B1675" s="11" t="s">
        <v>159</v>
      </c>
      <c r="C1675" s="139" t="s">
        <v>160</v>
      </c>
      <c r="D1675" s="140"/>
      <c r="E1675" s="11" t="s">
        <v>102</v>
      </c>
      <c r="F1675" s="12">
        <v>1</v>
      </c>
      <c r="G1675" s="13">
        <v>1137.9000000000001</v>
      </c>
      <c r="H1675" s="13">
        <v>1451.84</v>
      </c>
      <c r="I1675" s="13">
        <f t="shared" si="144"/>
        <v>1137.9000000000001</v>
      </c>
      <c r="J1675" s="13">
        <f t="shared" si="145"/>
        <v>1451.84</v>
      </c>
    </row>
    <row r="1676" spans="1:10" s="1" customFormat="1" ht="25.5" customHeight="1" x14ac:dyDescent="0.2">
      <c r="A1676" s="11" t="s">
        <v>161</v>
      </c>
      <c r="B1676" s="11" t="s">
        <v>162</v>
      </c>
      <c r="C1676" s="139" t="s">
        <v>163</v>
      </c>
      <c r="D1676" s="140"/>
      <c r="E1676" s="11" t="s">
        <v>14</v>
      </c>
      <c r="F1676" s="12">
        <v>10.26</v>
      </c>
      <c r="G1676" s="12">
        <v>18.63</v>
      </c>
      <c r="H1676" s="12">
        <v>23.77</v>
      </c>
      <c r="I1676" s="13">
        <f t="shared" si="144"/>
        <v>191.1438</v>
      </c>
      <c r="J1676" s="13">
        <f t="shared" si="145"/>
        <v>243.8802</v>
      </c>
    </row>
    <row r="1677" spans="1:10" s="1" customFormat="1" ht="25.5" customHeight="1" x14ac:dyDescent="0.2">
      <c r="A1677" s="11" t="s">
        <v>120</v>
      </c>
      <c r="B1677" s="11" t="s">
        <v>164</v>
      </c>
      <c r="C1677" s="139" t="s">
        <v>165</v>
      </c>
      <c r="D1677" s="140"/>
      <c r="E1677" s="11" t="s">
        <v>102</v>
      </c>
      <c r="F1677" s="12">
        <v>9</v>
      </c>
      <c r="G1677" s="12">
        <v>582.46</v>
      </c>
      <c r="H1677" s="12">
        <v>743.16</v>
      </c>
      <c r="I1677" s="13">
        <f t="shared" si="144"/>
        <v>5242.1400000000003</v>
      </c>
      <c r="J1677" s="13">
        <f t="shared" si="145"/>
        <v>6688.44</v>
      </c>
    </row>
    <row r="1678" spans="1:10" s="1" customFormat="1" ht="25.5" customHeight="1" x14ac:dyDescent="0.2">
      <c r="A1678" s="8"/>
      <c r="B1678" s="9" t="s">
        <v>172</v>
      </c>
      <c r="C1678" s="137" t="s">
        <v>173</v>
      </c>
      <c r="D1678" s="138"/>
      <c r="E1678" s="8"/>
      <c r="F1678" s="8"/>
      <c r="G1678" s="8"/>
      <c r="H1678" s="8"/>
      <c r="I1678" s="8"/>
      <c r="J1678" s="8"/>
    </row>
    <row r="1679" spans="1:10" s="1" customFormat="1" ht="25.5" customHeight="1" x14ac:dyDescent="0.2">
      <c r="A1679" s="10">
        <v>68054</v>
      </c>
      <c r="B1679" s="11" t="s">
        <v>174</v>
      </c>
      <c r="C1679" s="139" t="s">
        <v>175</v>
      </c>
      <c r="D1679" s="140"/>
      <c r="E1679" s="11" t="s">
        <v>102</v>
      </c>
      <c r="F1679" s="12">
        <v>5</v>
      </c>
      <c r="G1679" s="12">
        <v>180.11</v>
      </c>
      <c r="H1679" s="12">
        <v>229.8</v>
      </c>
      <c r="I1679" s="13">
        <f>F1679*G1679</f>
        <v>900.55000000000007</v>
      </c>
      <c r="J1679" s="13">
        <f>F1679*H1679</f>
        <v>1149</v>
      </c>
    </row>
    <row r="1680" spans="1:10" s="1" customFormat="1" ht="25.5" customHeight="1" x14ac:dyDescent="0.2">
      <c r="A1680" s="10">
        <v>68054</v>
      </c>
      <c r="B1680" s="11" t="s">
        <v>176</v>
      </c>
      <c r="C1680" s="139" t="s">
        <v>177</v>
      </c>
      <c r="D1680" s="140"/>
      <c r="E1680" s="11" t="s">
        <v>102</v>
      </c>
      <c r="F1680" s="12">
        <v>1</v>
      </c>
      <c r="G1680" s="12">
        <v>327.47000000000003</v>
      </c>
      <c r="H1680" s="12">
        <v>417.81</v>
      </c>
      <c r="I1680" s="13">
        <f>F1680*G1680</f>
        <v>327.47000000000003</v>
      </c>
      <c r="J1680" s="13">
        <f>F1680*H1680</f>
        <v>417.81</v>
      </c>
    </row>
    <row r="1681" spans="1:10" s="1" customFormat="1" ht="25.5" customHeight="1" x14ac:dyDescent="0.2">
      <c r="A1681" s="11" t="s">
        <v>178</v>
      </c>
      <c r="B1681" s="11" t="s">
        <v>179</v>
      </c>
      <c r="C1681" s="139" t="s">
        <v>180</v>
      </c>
      <c r="D1681" s="140"/>
      <c r="E1681" s="11" t="s">
        <v>14</v>
      </c>
      <c r="F1681" s="12">
        <v>12.6</v>
      </c>
      <c r="G1681" s="12">
        <v>381.87</v>
      </c>
      <c r="H1681" s="12">
        <v>487.23</v>
      </c>
      <c r="I1681" s="13">
        <f>F1681*G1681</f>
        <v>4811.5619999999999</v>
      </c>
      <c r="J1681" s="13">
        <f>F1681*H1681</f>
        <v>6139.098</v>
      </c>
    </row>
    <row r="1682" spans="1:10" s="1" customFormat="1" ht="25.5" customHeight="1" x14ac:dyDescent="0.2">
      <c r="A1682" s="8"/>
      <c r="B1682" s="149" t="s">
        <v>181</v>
      </c>
      <c r="C1682" s="150"/>
      <c r="D1682" s="150"/>
      <c r="E1682" s="150"/>
      <c r="F1682" s="150"/>
      <c r="G1682" s="151"/>
      <c r="H1682" s="8"/>
      <c r="I1682" s="18">
        <f>SUM(I1656:I1681)</f>
        <v>65962.245800000004</v>
      </c>
      <c r="J1682" s="18">
        <f>SUM(J1656:J1681)</f>
        <v>84161.418199999986</v>
      </c>
    </row>
    <row r="1683" spans="1:10" s="1" customFormat="1" ht="25.5" customHeight="1" x14ac:dyDescent="0.2">
      <c r="A1683" s="8"/>
      <c r="B1683" s="46"/>
      <c r="C1683" s="149" t="s">
        <v>182</v>
      </c>
      <c r="D1683" s="150"/>
      <c r="E1683" s="150"/>
      <c r="F1683" s="150"/>
      <c r="G1683" s="151"/>
      <c r="H1683" s="8"/>
      <c r="I1683" s="14">
        <f>SUM(I1682,I1653,)</f>
        <v>87198.065800000011</v>
      </c>
      <c r="J1683" s="15">
        <f>SUM(J1682,J1653)-0.1</f>
        <v>111256.13819999999</v>
      </c>
    </row>
    <row r="1684" spans="1:10" s="1" customFormat="1" ht="25.5" customHeight="1" x14ac:dyDescent="0.2">
      <c r="A1684" s="8"/>
      <c r="B1684" s="9" t="s">
        <v>183</v>
      </c>
      <c r="C1684" s="137" t="s">
        <v>184</v>
      </c>
      <c r="D1684" s="152"/>
      <c r="E1684" s="152"/>
      <c r="F1684" s="152"/>
      <c r="G1684" s="152"/>
      <c r="H1684" s="152"/>
      <c r="I1684" s="138"/>
      <c r="J1684" s="8"/>
    </row>
    <row r="1685" spans="1:10" s="1" customFormat="1" ht="25.5" customHeight="1" x14ac:dyDescent="0.2">
      <c r="A1685" s="11" t="s">
        <v>185</v>
      </c>
      <c r="B1685" s="11" t="s">
        <v>186</v>
      </c>
      <c r="C1685" s="139" t="s">
        <v>187</v>
      </c>
      <c r="D1685" s="140"/>
      <c r="E1685" s="11" t="s">
        <v>14</v>
      </c>
      <c r="F1685" s="12">
        <v>13.8</v>
      </c>
      <c r="G1685" s="12">
        <v>319.5</v>
      </c>
      <c r="H1685" s="12">
        <v>407.65</v>
      </c>
      <c r="I1685" s="13">
        <f>F1685*G1685</f>
        <v>4409.1000000000004</v>
      </c>
      <c r="J1685" s="13">
        <f>F1685*H1685</f>
        <v>5625.57</v>
      </c>
    </row>
    <row r="1686" spans="1:10" s="1" customFormat="1" ht="25.5" customHeight="1" x14ac:dyDescent="0.2">
      <c r="A1686" s="10">
        <v>85005</v>
      </c>
      <c r="B1686" s="11" t="s">
        <v>188</v>
      </c>
      <c r="C1686" s="139" t="s">
        <v>189</v>
      </c>
      <c r="D1686" s="140"/>
      <c r="E1686" s="11" t="s">
        <v>14</v>
      </c>
      <c r="F1686" s="12">
        <v>7</v>
      </c>
      <c r="G1686" s="12">
        <v>347.14</v>
      </c>
      <c r="H1686" s="12">
        <v>442.91</v>
      </c>
      <c r="I1686" s="13">
        <f>F1686*G1686</f>
        <v>2429.98</v>
      </c>
      <c r="J1686" s="13">
        <f>F1686*H1686</f>
        <v>3100.3700000000003</v>
      </c>
    </row>
    <row r="1687" spans="1:10" s="1" customFormat="1" ht="25.5" customHeight="1" x14ac:dyDescent="0.2">
      <c r="A1687" s="8"/>
      <c r="B1687" s="149" t="s">
        <v>190</v>
      </c>
      <c r="C1687" s="150"/>
      <c r="D1687" s="150"/>
      <c r="E1687" s="150"/>
      <c r="F1687" s="150"/>
      <c r="G1687" s="151"/>
      <c r="H1687" s="8"/>
      <c r="I1687" s="14">
        <f>SUM(I1685:I1686)-0.01</f>
        <v>6839.07</v>
      </c>
      <c r="J1687" s="15">
        <f>SUM(J1685:J1686)</f>
        <v>8725.94</v>
      </c>
    </row>
    <row r="1688" spans="1:10" s="1" customFormat="1" ht="25.5" customHeight="1" x14ac:dyDescent="0.2">
      <c r="A1688" s="8"/>
      <c r="B1688" s="9" t="s">
        <v>191</v>
      </c>
      <c r="C1688" s="137" t="s">
        <v>192</v>
      </c>
      <c r="D1688" s="152"/>
      <c r="E1688" s="152"/>
      <c r="F1688" s="152"/>
      <c r="G1688" s="152"/>
      <c r="H1688" s="152"/>
      <c r="I1688" s="138"/>
      <c r="J1688" s="8"/>
    </row>
    <row r="1689" spans="1:10" s="1" customFormat="1" ht="25.5" customHeight="1" x14ac:dyDescent="0.2">
      <c r="A1689" s="10">
        <v>92539</v>
      </c>
      <c r="B1689" s="11" t="s">
        <v>193</v>
      </c>
      <c r="C1689" s="139" t="s">
        <v>194</v>
      </c>
      <c r="D1689" s="140"/>
      <c r="E1689" s="11" t="s">
        <v>14</v>
      </c>
      <c r="F1689" s="13">
        <v>1271.78</v>
      </c>
      <c r="G1689" s="12">
        <v>52.1</v>
      </c>
      <c r="H1689" s="12">
        <v>66.48</v>
      </c>
      <c r="I1689" s="13">
        <f t="shared" ref="I1689:I1694" si="146">F1689*G1689</f>
        <v>66259.737999999998</v>
      </c>
      <c r="J1689" s="13">
        <f t="shared" ref="J1689:J1694" si="147">F1689*H1689</f>
        <v>84547.934399999998</v>
      </c>
    </row>
    <row r="1690" spans="1:10" s="1" customFormat="1" ht="25.5" customHeight="1" x14ac:dyDescent="0.2">
      <c r="A1690" s="10">
        <v>94195</v>
      </c>
      <c r="B1690" s="11" t="s">
        <v>195</v>
      </c>
      <c r="C1690" s="139" t="s">
        <v>196</v>
      </c>
      <c r="D1690" s="140"/>
      <c r="E1690" s="11" t="s">
        <v>14</v>
      </c>
      <c r="F1690" s="13">
        <v>1264.78</v>
      </c>
      <c r="G1690" s="12">
        <v>15.24</v>
      </c>
      <c r="H1690" s="12">
        <v>19.440000000000001</v>
      </c>
      <c r="I1690" s="13">
        <f t="shared" si="146"/>
        <v>19275.247200000002</v>
      </c>
      <c r="J1690" s="13">
        <f t="shared" si="147"/>
        <v>24587.323200000003</v>
      </c>
    </row>
    <row r="1691" spans="1:10" s="1" customFormat="1" ht="25.5" customHeight="1" x14ac:dyDescent="0.2">
      <c r="A1691" s="10">
        <v>94444</v>
      </c>
      <c r="B1691" s="11" t="s">
        <v>197</v>
      </c>
      <c r="C1691" s="139" t="s">
        <v>198</v>
      </c>
      <c r="D1691" s="140"/>
      <c r="E1691" s="11" t="s">
        <v>14</v>
      </c>
      <c r="F1691" s="12">
        <v>7</v>
      </c>
      <c r="G1691" s="12">
        <v>584.54999999999995</v>
      </c>
      <c r="H1691" s="12">
        <v>745.83</v>
      </c>
      <c r="I1691" s="13">
        <f t="shared" si="146"/>
        <v>4091.8499999999995</v>
      </c>
      <c r="J1691" s="13">
        <f t="shared" si="147"/>
        <v>5220.8100000000004</v>
      </c>
    </row>
    <row r="1692" spans="1:10" s="1" customFormat="1" ht="25.5" customHeight="1" x14ac:dyDescent="0.2">
      <c r="A1692" s="10">
        <v>94219</v>
      </c>
      <c r="B1692" s="11" t="s">
        <v>199</v>
      </c>
      <c r="C1692" s="139" t="s">
        <v>200</v>
      </c>
      <c r="D1692" s="140"/>
      <c r="E1692" s="11" t="s">
        <v>81</v>
      </c>
      <c r="F1692" s="12">
        <v>154.99</v>
      </c>
      <c r="G1692" s="12">
        <v>18.86</v>
      </c>
      <c r="H1692" s="12">
        <v>24.07</v>
      </c>
      <c r="I1692" s="13">
        <f t="shared" si="146"/>
        <v>2923.1114000000002</v>
      </c>
      <c r="J1692" s="13">
        <f t="shared" si="147"/>
        <v>3730.6093000000001</v>
      </c>
    </row>
    <row r="1693" spans="1:10" s="1" customFormat="1" ht="25.5" customHeight="1" x14ac:dyDescent="0.2">
      <c r="A1693" s="10">
        <v>94228</v>
      </c>
      <c r="B1693" s="11" t="s">
        <v>201</v>
      </c>
      <c r="C1693" s="139" t="s">
        <v>202</v>
      </c>
      <c r="D1693" s="140"/>
      <c r="E1693" s="11" t="s">
        <v>81</v>
      </c>
      <c r="F1693" s="12">
        <v>2.5</v>
      </c>
      <c r="G1693" s="12">
        <v>42.78</v>
      </c>
      <c r="H1693" s="12">
        <v>54.58</v>
      </c>
      <c r="I1693" s="13">
        <f t="shared" si="146"/>
        <v>106.95</v>
      </c>
      <c r="J1693" s="13">
        <f t="shared" si="147"/>
        <v>136.44999999999999</v>
      </c>
    </row>
    <row r="1694" spans="1:10" s="1" customFormat="1" ht="25.5" customHeight="1" x14ac:dyDescent="0.2">
      <c r="A1694" s="11" t="s">
        <v>203</v>
      </c>
      <c r="B1694" s="11" t="s">
        <v>204</v>
      </c>
      <c r="C1694" s="139" t="s">
        <v>205</v>
      </c>
      <c r="D1694" s="140"/>
      <c r="E1694" s="11" t="s">
        <v>81</v>
      </c>
      <c r="F1694" s="12">
        <v>107</v>
      </c>
      <c r="G1694" s="12">
        <v>20.81</v>
      </c>
      <c r="H1694" s="12">
        <v>26.55</v>
      </c>
      <c r="I1694" s="13">
        <f t="shared" si="146"/>
        <v>2226.67</v>
      </c>
      <c r="J1694" s="13">
        <f t="shared" si="147"/>
        <v>2840.85</v>
      </c>
    </row>
    <row r="1695" spans="1:10" s="1" customFormat="1" ht="25.5" customHeight="1" x14ac:dyDescent="0.2">
      <c r="A1695" s="8"/>
      <c r="B1695" s="149" t="s">
        <v>206</v>
      </c>
      <c r="C1695" s="150"/>
      <c r="D1695" s="150"/>
      <c r="E1695" s="150"/>
      <c r="F1695" s="150"/>
      <c r="G1695" s="151"/>
      <c r="H1695" s="8"/>
      <c r="I1695" s="14">
        <f>SUM(I1689:I1694)-2.4</f>
        <v>94881.166599999997</v>
      </c>
      <c r="J1695" s="15">
        <f>SUM(J1689:J1694)-4.9</f>
        <v>121059.0769</v>
      </c>
    </row>
    <row r="1696" spans="1:10" s="1" customFormat="1" ht="25.5" customHeight="1" x14ac:dyDescent="0.2">
      <c r="A1696" s="8"/>
      <c r="B1696" s="9" t="s">
        <v>207</v>
      </c>
      <c r="C1696" s="137" t="s">
        <v>208</v>
      </c>
      <c r="D1696" s="152"/>
      <c r="E1696" s="152"/>
      <c r="F1696" s="152"/>
      <c r="G1696" s="152"/>
      <c r="H1696" s="152"/>
      <c r="I1696" s="138"/>
      <c r="J1696" s="8"/>
    </row>
    <row r="1697" spans="1:10" s="1" customFormat="1" ht="25.5" customHeight="1" x14ac:dyDescent="0.2">
      <c r="A1697" s="11" t="s">
        <v>209</v>
      </c>
      <c r="B1697" s="11" t="s">
        <v>210</v>
      </c>
      <c r="C1697" s="139" t="s">
        <v>211</v>
      </c>
      <c r="D1697" s="140"/>
      <c r="E1697" s="11" t="s">
        <v>14</v>
      </c>
      <c r="F1697" s="12">
        <v>755</v>
      </c>
      <c r="G1697" s="12">
        <v>7.73</v>
      </c>
      <c r="H1697" s="12">
        <v>9.86</v>
      </c>
      <c r="I1697" s="13">
        <f>F1697*G1697</f>
        <v>5836.1500000000005</v>
      </c>
      <c r="J1697" s="13">
        <f>F1697*H1697</f>
        <v>7444.2999999999993</v>
      </c>
    </row>
    <row r="1698" spans="1:10" s="1" customFormat="1" ht="25.5" customHeight="1" x14ac:dyDescent="0.2">
      <c r="A1698" s="11" t="s">
        <v>212</v>
      </c>
      <c r="B1698" s="11" t="s">
        <v>213</v>
      </c>
      <c r="C1698" s="139" t="s">
        <v>214</v>
      </c>
      <c r="D1698" s="140"/>
      <c r="E1698" s="11" t="s">
        <v>14</v>
      </c>
      <c r="F1698" s="12">
        <v>77</v>
      </c>
      <c r="G1698" s="12">
        <v>29.51</v>
      </c>
      <c r="H1698" s="12">
        <v>37.65</v>
      </c>
      <c r="I1698" s="13">
        <f>F1698*G1698</f>
        <v>2272.27</v>
      </c>
      <c r="J1698" s="13">
        <f>F1698*H1698</f>
        <v>2899.0499999999997</v>
      </c>
    </row>
    <row r="1699" spans="1:10" s="1" customFormat="1" ht="25.5" customHeight="1" x14ac:dyDescent="0.2">
      <c r="A1699" s="11" t="s">
        <v>215</v>
      </c>
      <c r="B1699" s="11" t="s">
        <v>216</v>
      </c>
      <c r="C1699" s="139" t="s">
        <v>217</v>
      </c>
      <c r="D1699" s="140"/>
      <c r="E1699" s="11" t="s">
        <v>14</v>
      </c>
      <c r="F1699" s="12">
        <v>105</v>
      </c>
      <c r="G1699" s="12">
        <v>14.07</v>
      </c>
      <c r="H1699" s="12">
        <v>17.95</v>
      </c>
      <c r="I1699" s="13">
        <f>F1699*G1699</f>
        <v>1477.3500000000001</v>
      </c>
      <c r="J1699" s="13">
        <f>F1699*H1699</f>
        <v>1884.75</v>
      </c>
    </row>
    <row r="1700" spans="1:10" s="1" customFormat="1" ht="25.5" customHeight="1" x14ac:dyDescent="0.2">
      <c r="A1700" s="11" t="s">
        <v>215</v>
      </c>
      <c r="B1700" s="11" t="s">
        <v>218</v>
      </c>
      <c r="C1700" s="139" t="s">
        <v>219</v>
      </c>
      <c r="D1700" s="140"/>
      <c r="E1700" s="11" t="s">
        <v>14</v>
      </c>
      <c r="F1700" s="12">
        <v>221.45</v>
      </c>
      <c r="G1700" s="12">
        <v>14.07</v>
      </c>
      <c r="H1700" s="12">
        <v>17.95</v>
      </c>
      <c r="I1700" s="13">
        <f>F1700*G1700</f>
        <v>3115.8015</v>
      </c>
      <c r="J1700" s="13">
        <f>F1700*H1700</f>
        <v>3975.0274999999997</v>
      </c>
    </row>
    <row r="1701" spans="1:10" s="1" customFormat="1" ht="25.5" customHeight="1" x14ac:dyDescent="0.2">
      <c r="A1701" s="8"/>
      <c r="B1701" s="149" t="s">
        <v>220</v>
      </c>
      <c r="C1701" s="150"/>
      <c r="D1701" s="150"/>
      <c r="E1701" s="150"/>
      <c r="F1701" s="150"/>
      <c r="G1701" s="151"/>
      <c r="H1701" s="8"/>
      <c r="I1701" s="14">
        <f>SUM(I1697:I1700)-0.2</f>
        <v>12701.371499999999</v>
      </c>
      <c r="J1701" s="15">
        <f>SUM(J1697:J1700)</f>
        <v>16203.127499999999</v>
      </c>
    </row>
    <row r="1702" spans="1:10" s="1" customFormat="1" ht="25.5" customHeight="1" x14ac:dyDescent="0.2">
      <c r="A1702" s="8"/>
      <c r="B1702" s="9" t="s">
        <v>221</v>
      </c>
      <c r="C1702" s="137" t="s">
        <v>222</v>
      </c>
      <c r="D1702" s="152"/>
      <c r="E1702" s="152"/>
      <c r="F1702" s="152"/>
      <c r="G1702" s="152"/>
      <c r="H1702" s="152"/>
      <c r="I1702" s="138"/>
      <c r="J1702" s="8"/>
    </row>
    <row r="1703" spans="1:10" s="1" customFormat="1" ht="25.5" customHeight="1" x14ac:dyDescent="0.2">
      <c r="A1703" s="8"/>
      <c r="B1703" s="9" t="s">
        <v>223</v>
      </c>
      <c r="C1703" s="137" t="s">
        <v>224</v>
      </c>
      <c r="D1703" s="152"/>
      <c r="E1703" s="152"/>
      <c r="F1703" s="152"/>
      <c r="G1703" s="152"/>
      <c r="H1703" s="152"/>
      <c r="I1703" s="138"/>
      <c r="J1703" s="8"/>
    </row>
    <row r="1704" spans="1:10" s="1" customFormat="1" ht="25.5" customHeight="1" x14ac:dyDescent="0.2">
      <c r="A1704" s="8"/>
      <c r="B1704" s="9" t="s">
        <v>225</v>
      </c>
      <c r="C1704" s="137" t="s">
        <v>226</v>
      </c>
      <c r="D1704" s="138"/>
      <c r="E1704" s="8"/>
      <c r="F1704" s="8"/>
      <c r="G1704" s="8"/>
      <c r="H1704" s="8"/>
      <c r="I1704" s="8"/>
      <c r="J1704" s="8"/>
    </row>
    <row r="1705" spans="1:10" s="1" customFormat="1" ht="25.5" customHeight="1" x14ac:dyDescent="0.2">
      <c r="A1705" s="10">
        <v>87775</v>
      </c>
      <c r="B1705" s="11" t="s">
        <v>227</v>
      </c>
      <c r="C1705" s="139" t="s">
        <v>228</v>
      </c>
      <c r="D1705" s="140"/>
      <c r="E1705" s="11" t="s">
        <v>14</v>
      </c>
      <c r="F1705" s="12">
        <v>959.21</v>
      </c>
      <c r="G1705" s="12">
        <v>37.78</v>
      </c>
      <c r="H1705" s="12">
        <v>48.21</v>
      </c>
      <c r="I1705" s="13">
        <f>F1705*G1705</f>
        <v>36238.953800000003</v>
      </c>
      <c r="J1705" s="13">
        <f>F1705*H1705</f>
        <v>46243.5141</v>
      </c>
    </row>
    <row r="1706" spans="1:10" s="1" customFormat="1" ht="25.5" customHeight="1" x14ac:dyDescent="0.2">
      <c r="A1706" s="11" t="s">
        <v>229</v>
      </c>
      <c r="B1706" s="11" t="s">
        <v>230</v>
      </c>
      <c r="C1706" s="139" t="s">
        <v>231</v>
      </c>
      <c r="D1706" s="140"/>
      <c r="E1706" s="11" t="s">
        <v>14</v>
      </c>
      <c r="F1706" s="12">
        <v>809.07</v>
      </c>
      <c r="G1706" s="12">
        <v>21.63</v>
      </c>
      <c r="H1706" s="12">
        <v>27.59</v>
      </c>
      <c r="I1706" s="13">
        <f>F1706*G1706</f>
        <v>17500.184099999999</v>
      </c>
      <c r="J1706" s="13">
        <f>F1706*H1706</f>
        <v>22322.241300000002</v>
      </c>
    </row>
    <row r="1707" spans="1:10" s="1" customFormat="1" ht="25.5" customHeight="1" x14ac:dyDescent="0.2">
      <c r="A1707" s="10">
        <v>87265</v>
      </c>
      <c r="B1707" s="11" t="s">
        <v>232</v>
      </c>
      <c r="C1707" s="139" t="s">
        <v>233</v>
      </c>
      <c r="D1707" s="140"/>
      <c r="E1707" s="11" t="s">
        <v>14</v>
      </c>
      <c r="F1707" s="12">
        <v>959.21</v>
      </c>
      <c r="G1707" s="12">
        <v>31.09</v>
      </c>
      <c r="H1707" s="12">
        <v>39.659999999999997</v>
      </c>
      <c r="I1707" s="13">
        <f>F1707*G1707</f>
        <v>29821.838900000002</v>
      </c>
      <c r="J1707" s="13">
        <f>F1707*H1707</f>
        <v>38042.268599999996</v>
      </c>
    </row>
    <row r="1708" spans="1:10" s="1" customFormat="1" ht="25.5" customHeight="1" x14ac:dyDescent="0.2">
      <c r="A1708" s="8"/>
      <c r="B1708" s="9" t="s">
        <v>234</v>
      </c>
      <c r="C1708" s="137" t="s">
        <v>235</v>
      </c>
      <c r="D1708" s="138"/>
      <c r="E1708" s="8"/>
      <c r="F1708" s="8"/>
      <c r="G1708" s="8"/>
      <c r="H1708" s="8"/>
      <c r="I1708" s="8"/>
      <c r="J1708" s="8"/>
    </row>
    <row r="1709" spans="1:10" s="1" customFormat="1" ht="25.5" customHeight="1" x14ac:dyDescent="0.2">
      <c r="A1709" s="11" t="s">
        <v>236</v>
      </c>
      <c r="B1709" s="11" t="s">
        <v>237</v>
      </c>
      <c r="C1709" s="139" t="s">
        <v>231</v>
      </c>
      <c r="D1709" s="140"/>
      <c r="E1709" s="11" t="s">
        <v>14</v>
      </c>
      <c r="F1709" s="12">
        <v>724.74</v>
      </c>
      <c r="G1709" s="12">
        <v>22.03</v>
      </c>
      <c r="H1709" s="12">
        <v>28.11</v>
      </c>
      <c r="I1709" s="13">
        <f>F1709*G1709</f>
        <v>15966.022200000001</v>
      </c>
      <c r="J1709" s="13">
        <f>F1709*H1709</f>
        <v>20372.4414</v>
      </c>
    </row>
    <row r="1710" spans="1:10" s="1" customFormat="1" ht="25.5" customHeight="1" x14ac:dyDescent="0.2">
      <c r="A1710" s="8"/>
      <c r="B1710" s="149" t="s">
        <v>238</v>
      </c>
      <c r="C1710" s="150"/>
      <c r="D1710" s="150"/>
      <c r="E1710" s="150"/>
      <c r="F1710" s="150"/>
      <c r="G1710" s="151"/>
      <c r="H1710" s="8"/>
      <c r="I1710" s="18">
        <f>SUM(I1705:I1709)</f>
        <v>99526.999000000011</v>
      </c>
      <c r="J1710" s="18">
        <f>SUM(J1705:J1709)</f>
        <v>126980.46539999999</v>
      </c>
    </row>
    <row r="1711" spans="1:10" s="1" customFormat="1" ht="25.5" customHeight="1" x14ac:dyDescent="0.2">
      <c r="A1711" s="8"/>
      <c r="B1711" s="9" t="s">
        <v>239</v>
      </c>
      <c r="C1711" s="137" t="s">
        <v>240</v>
      </c>
      <c r="D1711" s="152"/>
      <c r="E1711" s="152"/>
      <c r="F1711" s="152"/>
      <c r="G1711" s="152"/>
      <c r="H1711" s="152"/>
      <c r="I1711" s="138"/>
      <c r="J1711" s="8"/>
    </row>
    <row r="1712" spans="1:10" s="1" customFormat="1" ht="25.5" customHeight="1" x14ac:dyDescent="0.2">
      <c r="A1712" s="8"/>
      <c r="B1712" s="9" t="s">
        <v>241</v>
      </c>
      <c r="C1712" s="137" t="s">
        <v>242</v>
      </c>
      <c r="D1712" s="138"/>
      <c r="E1712" s="8"/>
      <c r="F1712" s="8"/>
      <c r="G1712" s="8"/>
      <c r="H1712" s="8"/>
      <c r="I1712" s="8"/>
      <c r="J1712" s="8"/>
    </row>
    <row r="1713" spans="1:11" s="1" customFormat="1" ht="25.5" customHeight="1" x14ac:dyDescent="0.2">
      <c r="A1713" s="10">
        <v>87905</v>
      </c>
      <c r="B1713" s="11" t="s">
        <v>243</v>
      </c>
      <c r="C1713" s="139" t="s">
        <v>244</v>
      </c>
      <c r="D1713" s="140"/>
      <c r="E1713" s="11" t="s">
        <v>14</v>
      </c>
      <c r="F1713" s="13">
        <v>1036.82</v>
      </c>
      <c r="G1713" s="12">
        <v>5.81</v>
      </c>
      <c r="H1713" s="12">
        <v>7.41</v>
      </c>
      <c r="I1713" s="13">
        <f>F1713*G1713</f>
        <v>6023.9241999999995</v>
      </c>
      <c r="J1713" s="13">
        <f>F1713*H1713</f>
        <v>7682.8361999999997</v>
      </c>
    </row>
    <row r="1714" spans="1:11" s="1" customFormat="1" ht="25.5" customHeight="1" x14ac:dyDescent="0.2">
      <c r="A1714" s="10">
        <v>87775</v>
      </c>
      <c r="B1714" s="11" t="s">
        <v>245</v>
      </c>
      <c r="C1714" s="139" t="s">
        <v>228</v>
      </c>
      <c r="D1714" s="140"/>
      <c r="E1714" s="11" t="s">
        <v>14</v>
      </c>
      <c r="F1714" s="12">
        <v>460.27</v>
      </c>
      <c r="G1714" s="12">
        <v>37.78</v>
      </c>
      <c r="H1714" s="12">
        <v>48.21</v>
      </c>
      <c r="I1714" s="13">
        <f>F1714*G1714</f>
        <v>17389.000599999999</v>
      </c>
      <c r="J1714" s="13">
        <f>F1714*H1714</f>
        <v>22189.616699999999</v>
      </c>
    </row>
    <row r="1715" spans="1:11" s="1" customFormat="1" ht="25.5" customHeight="1" x14ac:dyDescent="0.2">
      <c r="A1715" s="11" t="s">
        <v>229</v>
      </c>
      <c r="B1715" s="11" t="s">
        <v>246</v>
      </c>
      <c r="C1715" s="139" t="s">
        <v>231</v>
      </c>
      <c r="D1715" s="140"/>
      <c r="E1715" s="11" t="s">
        <v>14</v>
      </c>
      <c r="F1715" s="12">
        <v>576.54999999999995</v>
      </c>
      <c r="G1715" s="12">
        <v>21.63</v>
      </c>
      <c r="H1715" s="12">
        <v>27.59</v>
      </c>
      <c r="I1715" s="13">
        <f>F1715*G1715</f>
        <v>12470.776499999998</v>
      </c>
      <c r="J1715" s="13">
        <f>F1715*H1715</f>
        <v>15907.014499999999</v>
      </c>
    </row>
    <row r="1716" spans="1:11" s="1" customFormat="1" ht="25.5" customHeight="1" x14ac:dyDescent="0.2">
      <c r="A1716" s="11" t="s">
        <v>247</v>
      </c>
      <c r="B1716" s="11" t="s">
        <v>248</v>
      </c>
      <c r="C1716" s="139" t="s">
        <v>249</v>
      </c>
      <c r="D1716" s="140"/>
      <c r="E1716" s="11" t="s">
        <v>14</v>
      </c>
      <c r="F1716" s="12">
        <v>460.27</v>
      </c>
      <c r="G1716" s="12">
        <v>38.770000000000003</v>
      </c>
      <c r="H1716" s="12">
        <v>49.47</v>
      </c>
      <c r="I1716" s="13">
        <f>F1716*G1716</f>
        <v>17844.6679</v>
      </c>
      <c r="J1716" s="13">
        <f>F1716*H1716</f>
        <v>22769.5569</v>
      </c>
    </row>
    <row r="1717" spans="1:11" s="1" customFormat="1" ht="25.5" customHeight="1" x14ac:dyDescent="0.2">
      <c r="A1717" s="8"/>
      <c r="B1717" s="149" t="s">
        <v>250</v>
      </c>
      <c r="C1717" s="150"/>
      <c r="D1717" s="150"/>
      <c r="E1717" s="150"/>
      <c r="F1717" s="150"/>
      <c r="G1717" s="151"/>
      <c r="H1717" s="8"/>
      <c r="I1717" s="18">
        <f>SUM(I1713:I1716)</f>
        <v>53728.369200000001</v>
      </c>
      <c r="J1717" s="18">
        <f>SUM(J1713:J1716)</f>
        <v>68549.02429999999</v>
      </c>
    </row>
    <row r="1718" spans="1:11" s="1" customFormat="1" ht="25.5" customHeight="1" x14ac:dyDescent="0.2">
      <c r="A1718" s="8"/>
      <c r="B1718" s="149" t="s">
        <v>251</v>
      </c>
      <c r="C1718" s="150"/>
      <c r="D1718" s="150"/>
      <c r="E1718" s="150"/>
      <c r="F1718" s="150"/>
      <c r="G1718" s="151"/>
      <c r="H1718" s="8"/>
      <c r="I1718" s="14">
        <f>SUM(I1710,I1717)-7.97</f>
        <v>153247.39820000003</v>
      </c>
      <c r="J1718" s="15">
        <f>SUM(J1710,J1717)-1.3</f>
        <v>195528.18969999999</v>
      </c>
      <c r="K1718" s="49"/>
    </row>
    <row r="1719" spans="1:11" s="1" customFormat="1" ht="25.5" customHeight="1" x14ac:dyDescent="0.2">
      <c r="A1719" s="8"/>
      <c r="B1719" s="9" t="s">
        <v>252</v>
      </c>
      <c r="C1719" s="137" t="s">
        <v>253</v>
      </c>
      <c r="D1719" s="152"/>
      <c r="E1719" s="152"/>
      <c r="F1719" s="152"/>
      <c r="G1719" s="152"/>
      <c r="H1719" s="152"/>
      <c r="I1719" s="138"/>
      <c r="J1719" s="8"/>
    </row>
    <row r="1720" spans="1:11" s="1" customFormat="1" ht="25.5" customHeight="1" x14ac:dyDescent="0.2">
      <c r="A1720" s="10">
        <v>98572</v>
      </c>
      <c r="B1720" s="11" t="s">
        <v>254</v>
      </c>
      <c r="C1720" s="139" t="s">
        <v>255</v>
      </c>
      <c r="D1720" s="140"/>
      <c r="E1720" s="11" t="s">
        <v>14</v>
      </c>
      <c r="F1720" s="13">
        <v>1707</v>
      </c>
      <c r="G1720" s="12">
        <v>29.86</v>
      </c>
      <c r="H1720" s="12">
        <v>38.1</v>
      </c>
      <c r="I1720" s="13">
        <f t="shared" ref="I1720:I1726" si="148">F1720*G1720</f>
        <v>50971.02</v>
      </c>
      <c r="J1720" s="13">
        <f t="shared" ref="J1720:J1726" si="149">F1720*H1720</f>
        <v>65036.700000000004</v>
      </c>
    </row>
    <row r="1721" spans="1:11" s="1" customFormat="1" ht="25.5" customHeight="1" x14ac:dyDescent="0.2">
      <c r="A1721" s="10">
        <v>98560</v>
      </c>
      <c r="B1721" s="11" t="s">
        <v>256</v>
      </c>
      <c r="C1721" s="139" t="s">
        <v>257</v>
      </c>
      <c r="D1721" s="140"/>
      <c r="E1721" s="11" t="s">
        <v>14</v>
      </c>
      <c r="F1721" s="13">
        <v>1304.0999999999999</v>
      </c>
      <c r="G1721" s="12">
        <v>32.090000000000003</v>
      </c>
      <c r="H1721" s="12">
        <v>40.94</v>
      </c>
      <c r="I1721" s="13">
        <f t="shared" si="148"/>
        <v>41848.569000000003</v>
      </c>
      <c r="J1721" s="13">
        <f t="shared" si="149"/>
        <v>53389.853999999992</v>
      </c>
    </row>
    <row r="1722" spans="1:11" s="1" customFormat="1" ht="25.5" customHeight="1" x14ac:dyDescent="0.2">
      <c r="A1722" s="10">
        <v>92391</v>
      </c>
      <c r="B1722" s="11" t="s">
        <v>258</v>
      </c>
      <c r="C1722" s="139" t="s">
        <v>259</v>
      </c>
      <c r="D1722" s="140"/>
      <c r="E1722" s="11" t="s">
        <v>14</v>
      </c>
      <c r="F1722" s="12">
        <v>224</v>
      </c>
      <c r="G1722" s="12">
        <v>46.88</v>
      </c>
      <c r="H1722" s="12">
        <v>59.82</v>
      </c>
      <c r="I1722" s="13">
        <f t="shared" si="148"/>
        <v>10501.12</v>
      </c>
      <c r="J1722" s="13">
        <f t="shared" si="149"/>
        <v>13399.68</v>
      </c>
    </row>
    <row r="1723" spans="1:11" s="1" customFormat="1" ht="25.5" customHeight="1" x14ac:dyDescent="0.2">
      <c r="A1723" s="11" t="s">
        <v>260</v>
      </c>
      <c r="B1723" s="11" t="s">
        <v>261</v>
      </c>
      <c r="C1723" s="139" t="s">
        <v>262</v>
      </c>
      <c r="D1723" s="140"/>
      <c r="E1723" s="11" t="s">
        <v>14</v>
      </c>
      <c r="F1723" s="12">
        <v>36</v>
      </c>
      <c r="G1723" s="12">
        <v>31.2</v>
      </c>
      <c r="H1723" s="12">
        <v>39.81</v>
      </c>
      <c r="I1723" s="13">
        <f t="shared" si="148"/>
        <v>1123.2</v>
      </c>
      <c r="J1723" s="13">
        <f t="shared" si="149"/>
        <v>1433.16</v>
      </c>
    </row>
    <row r="1724" spans="1:11" s="1" customFormat="1" ht="25.5" customHeight="1" x14ac:dyDescent="0.2">
      <c r="A1724" s="10">
        <v>88477</v>
      </c>
      <c r="B1724" s="11" t="s">
        <v>265</v>
      </c>
      <c r="C1724" s="139" t="s">
        <v>264</v>
      </c>
      <c r="D1724" s="140"/>
      <c r="E1724" s="11" t="s">
        <v>14</v>
      </c>
      <c r="F1724" s="12">
        <v>470</v>
      </c>
      <c r="G1724" s="12">
        <v>19.170000000000002</v>
      </c>
      <c r="H1724" s="12">
        <v>24.46</v>
      </c>
      <c r="I1724" s="13">
        <f t="shared" si="148"/>
        <v>9009.9000000000015</v>
      </c>
      <c r="J1724" s="13">
        <f t="shared" si="149"/>
        <v>11496.2</v>
      </c>
    </row>
    <row r="1725" spans="1:11" s="1" customFormat="1" ht="25.5" customHeight="1" x14ac:dyDescent="0.2">
      <c r="A1725" s="10">
        <v>84191</v>
      </c>
      <c r="B1725" s="11" t="s">
        <v>268</v>
      </c>
      <c r="C1725" s="139" t="s">
        <v>266</v>
      </c>
      <c r="D1725" s="140"/>
      <c r="E1725" s="11" t="s">
        <v>14</v>
      </c>
      <c r="F1725" s="12">
        <v>885</v>
      </c>
      <c r="G1725" s="12">
        <v>98.11</v>
      </c>
      <c r="H1725" s="12">
        <v>125.18</v>
      </c>
      <c r="I1725" s="13">
        <f t="shared" si="148"/>
        <v>86827.35</v>
      </c>
      <c r="J1725" s="13">
        <f t="shared" si="149"/>
        <v>110784.3</v>
      </c>
    </row>
    <row r="1726" spans="1:11" s="1" customFormat="1" ht="25.5" customHeight="1" x14ac:dyDescent="0.2">
      <c r="A1726" s="11" t="s">
        <v>267</v>
      </c>
      <c r="B1726" s="11" t="s">
        <v>1268</v>
      </c>
      <c r="C1726" s="139" t="s">
        <v>269</v>
      </c>
      <c r="D1726" s="140"/>
      <c r="E1726" s="11" t="s">
        <v>81</v>
      </c>
      <c r="F1726" s="12">
        <v>77</v>
      </c>
      <c r="G1726" s="12">
        <v>174.65</v>
      </c>
      <c r="H1726" s="12">
        <v>222.84</v>
      </c>
      <c r="I1726" s="13">
        <f t="shared" si="148"/>
        <v>13448.050000000001</v>
      </c>
      <c r="J1726" s="13">
        <f t="shared" si="149"/>
        <v>17158.68</v>
      </c>
    </row>
    <row r="1727" spans="1:11" s="1" customFormat="1" ht="25.5" customHeight="1" x14ac:dyDescent="0.2">
      <c r="A1727" s="8"/>
      <c r="B1727" s="149" t="s">
        <v>270</v>
      </c>
      <c r="C1727" s="150"/>
      <c r="D1727" s="150"/>
      <c r="E1727" s="150"/>
      <c r="F1727" s="150"/>
      <c r="G1727" s="151"/>
      <c r="H1727" s="8"/>
      <c r="I1727" s="14">
        <f>SUM(I1720:I1726)-4</f>
        <v>213725.209</v>
      </c>
      <c r="J1727" s="15">
        <f>SUM(J1720:J1726)-6</f>
        <v>272692.57400000002</v>
      </c>
    </row>
    <row r="1728" spans="1:11" s="1" customFormat="1" ht="25.5" customHeight="1" x14ac:dyDescent="0.2">
      <c r="A1728" s="8"/>
      <c r="B1728" s="9" t="s">
        <v>271</v>
      </c>
      <c r="C1728" s="137" t="s">
        <v>272</v>
      </c>
      <c r="D1728" s="152"/>
      <c r="E1728" s="152"/>
      <c r="F1728" s="152"/>
      <c r="G1728" s="152"/>
      <c r="H1728" s="152"/>
      <c r="I1728" s="138"/>
      <c r="J1728" s="8"/>
    </row>
    <row r="1729" spans="1:10" s="1" customFormat="1" ht="25.5" customHeight="1" x14ac:dyDescent="0.2">
      <c r="A1729" s="11" t="s">
        <v>273</v>
      </c>
      <c r="B1729" s="11" t="s">
        <v>274</v>
      </c>
      <c r="C1729" s="139" t="s">
        <v>275</v>
      </c>
      <c r="D1729" s="140"/>
      <c r="E1729" s="11" t="s">
        <v>81</v>
      </c>
      <c r="F1729" s="12">
        <v>32.799999999999997</v>
      </c>
      <c r="G1729" s="12">
        <v>33.909999999999997</v>
      </c>
      <c r="H1729" s="12">
        <v>43.27</v>
      </c>
      <c r="I1729" s="13">
        <f>F1729*G1729</f>
        <v>1112.2479999999998</v>
      </c>
      <c r="J1729" s="13">
        <f>F1729*H1729</f>
        <v>1419.2560000000001</v>
      </c>
    </row>
    <row r="1730" spans="1:10" s="1" customFormat="1" ht="25.5" customHeight="1" x14ac:dyDescent="0.2">
      <c r="A1730" s="10">
        <v>96467</v>
      </c>
      <c r="B1730" s="11" t="s">
        <v>276</v>
      </c>
      <c r="C1730" s="139" t="s">
        <v>277</v>
      </c>
      <c r="D1730" s="140"/>
      <c r="E1730" s="11" t="s">
        <v>81</v>
      </c>
      <c r="F1730" s="12">
        <v>648</v>
      </c>
      <c r="G1730" s="12">
        <v>4.1100000000000003</v>
      </c>
      <c r="H1730" s="12">
        <v>5.25</v>
      </c>
      <c r="I1730" s="13">
        <f>F1730*G1730</f>
        <v>2663.28</v>
      </c>
      <c r="J1730" s="13">
        <f>F1730*H1730</f>
        <v>3402</v>
      </c>
    </row>
    <row r="1731" spans="1:10" s="1" customFormat="1" ht="25.5" customHeight="1" x14ac:dyDescent="0.2">
      <c r="A1731" s="11" t="s">
        <v>78</v>
      </c>
      <c r="B1731" s="11" t="s">
        <v>278</v>
      </c>
      <c r="C1731" s="139" t="s">
        <v>279</v>
      </c>
      <c r="D1731" s="140"/>
      <c r="E1731" s="11" t="s">
        <v>81</v>
      </c>
      <c r="F1731" s="12">
        <v>100</v>
      </c>
      <c r="G1731" s="12">
        <v>9.81</v>
      </c>
      <c r="H1731" s="12">
        <v>12.52</v>
      </c>
      <c r="I1731" s="13">
        <f>F1731*G1731</f>
        <v>981</v>
      </c>
      <c r="J1731" s="13">
        <f>F1731*H1731</f>
        <v>1252</v>
      </c>
    </row>
    <row r="1732" spans="1:10" s="1" customFormat="1" ht="25.5" customHeight="1" x14ac:dyDescent="0.2">
      <c r="A1732" s="11" t="s">
        <v>280</v>
      </c>
      <c r="B1732" s="11" t="s">
        <v>281</v>
      </c>
      <c r="C1732" s="139" t="s">
        <v>282</v>
      </c>
      <c r="D1732" s="140"/>
      <c r="E1732" s="11" t="s">
        <v>81</v>
      </c>
      <c r="F1732" s="12">
        <v>548</v>
      </c>
      <c r="G1732" s="12">
        <v>12.72</v>
      </c>
      <c r="H1732" s="12">
        <v>16.23</v>
      </c>
      <c r="I1732" s="13">
        <f>F1732*G1732</f>
        <v>6970.56</v>
      </c>
      <c r="J1732" s="13">
        <f>F1732*H1732</f>
        <v>8894.0400000000009</v>
      </c>
    </row>
    <row r="1733" spans="1:10" s="1" customFormat="1" ht="25.5" customHeight="1" x14ac:dyDescent="0.2">
      <c r="A1733" s="8"/>
      <c r="B1733" s="149" t="s">
        <v>283</v>
      </c>
      <c r="C1733" s="150"/>
      <c r="D1733" s="150"/>
      <c r="E1733" s="150"/>
      <c r="F1733" s="150"/>
      <c r="G1733" s="151"/>
      <c r="H1733" s="8"/>
      <c r="I1733" s="14">
        <f>SUM(I1729:I1732)</f>
        <v>11727.088</v>
      </c>
      <c r="J1733" s="15">
        <f>SUM(J1729:J1732)-4.3</f>
        <v>14962.996000000003</v>
      </c>
    </row>
    <row r="1734" spans="1:10" s="1" customFormat="1" ht="25.5" customHeight="1" x14ac:dyDescent="0.2">
      <c r="A1734" s="8"/>
      <c r="B1734" s="9" t="s">
        <v>284</v>
      </c>
      <c r="C1734" s="137" t="s">
        <v>285</v>
      </c>
      <c r="D1734" s="152"/>
      <c r="E1734" s="152"/>
      <c r="F1734" s="152"/>
      <c r="G1734" s="152"/>
      <c r="H1734" s="152"/>
      <c r="I1734" s="138"/>
      <c r="J1734" s="8"/>
    </row>
    <row r="1735" spans="1:10" s="1" customFormat="1" ht="25.5" customHeight="1" x14ac:dyDescent="0.2">
      <c r="A1735" s="8"/>
      <c r="B1735" s="20">
        <v>12.1</v>
      </c>
      <c r="C1735" s="137" t="s">
        <v>286</v>
      </c>
      <c r="D1735" s="138"/>
      <c r="E1735" s="8"/>
      <c r="F1735" s="8"/>
      <c r="G1735" s="8"/>
      <c r="H1735" s="8"/>
      <c r="I1735" s="8"/>
      <c r="J1735" s="8"/>
    </row>
    <row r="1736" spans="1:10" s="1" customFormat="1" ht="25.5" customHeight="1" x14ac:dyDescent="0.2">
      <c r="A1736" s="10">
        <v>88489</v>
      </c>
      <c r="B1736" s="21">
        <v>40909</v>
      </c>
      <c r="C1736" s="139" t="s">
        <v>287</v>
      </c>
      <c r="D1736" s="140"/>
      <c r="E1736" s="11" t="s">
        <v>14</v>
      </c>
      <c r="F1736" s="12">
        <v>638.78</v>
      </c>
      <c r="G1736" s="12">
        <v>8.41</v>
      </c>
      <c r="H1736" s="12">
        <v>10.73</v>
      </c>
      <c r="I1736" s="13">
        <f>F1736*G1736</f>
        <v>5372.1397999999999</v>
      </c>
      <c r="J1736" s="13">
        <f>F1736*H1736</f>
        <v>6854.1094000000003</v>
      </c>
    </row>
    <row r="1737" spans="1:10" s="1" customFormat="1" ht="25.5" customHeight="1" x14ac:dyDescent="0.2">
      <c r="A1737" s="10">
        <v>88497</v>
      </c>
      <c r="B1737" s="21">
        <v>40910</v>
      </c>
      <c r="C1737" s="139" t="s">
        <v>288</v>
      </c>
      <c r="D1737" s="140"/>
      <c r="E1737" s="11" t="s">
        <v>14</v>
      </c>
      <c r="F1737" s="12">
        <v>638.78</v>
      </c>
      <c r="G1737" s="12">
        <v>9.49</v>
      </c>
      <c r="H1737" s="12">
        <v>12.1</v>
      </c>
      <c r="I1737" s="13">
        <f>F1737*G1737</f>
        <v>6062.0221999999994</v>
      </c>
      <c r="J1737" s="13">
        <f>F1737*H1737</f>
        <v>7729.2379999999994</v>
      </c>
    </row>
    <row r="1738" spans="1:10" s="1" customFormat="1" ht="25.5" customHeight="1" x14ac:dyDescent="0.2">
      <c r="A1738" s="10">
        <v>88487</v>
      </c>
      <c r="B1738" s="21">
        <v>40911</v>
      </c>
      <c r="C1738" s="139" t="s">
        <v>289</v>
      </c>
      <c r="D1738" s="140"/>
      <c r="E1738" s="11" t="s">
        <v>14</v>
      </c>
      <c r="F1738" s="12">
        <v>77.3</v>
      </c>
      <c r="G1738" s="12">
        <v>6.56</v>
      </c>
      <c r="H1738" s="12">
        <v>8.3699999999999992</v>
      </c>
      <c r="I1738" s="13">
        <f>F1738*G1738</f>
        <v>507.08799999999997</v>
      </c>
      <c r="J1738" s="13">
        <f>F1738*H1738</f>
        <v>647.00099999999986</v>
      </c>
    </row>
    <row r="1739" spans="1:10" s="1" customFormat="1" ht="25.5" customHeight="1" x14ac:dyDescent="0.2">
      <c r="A1739" s="8"/>
      <c r="B1739" s="9" t="s">
        <v>290</v>
      </c>
      <c r="C1739" s="137" t="s">
        <v>291</v>
      </c>
      <c r="D1739" s="152"/>
      <c r="E1739" s="152"/>
      <c r="F1739" s="152"/>
      <c r="G1739" s="138"/>
      <c r="H1739" s="8"/>
      <c r="I1739" s="8"/>
      <c r="J1739" s="8"/>
    </row>
    <row r="1740" spans="1:10" s="1" customFormat="1" ht="25.5" customHeight="1" x14ac:dyDescent="0.2">
      <c r="A1740" s="10">
        <v>88489</v>
      </c>
      <c r="B1740" s="21">
        <v>40940</v>
      </c>
      <c r="C1740" s="139" t="s">
        <v>287</v>
      </c>
      <c r="D1740" s="140"/>
      <c r="E1740" s="11" t="s">
        <v>14</v>
      </c>
      <c r="F1740" s="12">
        <v>606.17999999999995</v>
      </c>
      <c r="G1740" s="12">
        <v>8.41</v>
      </c>
      <c r="H1740" s="12">
        <v>10.73</v>
      </c>
      <c r="I1740" s="13">
        <f>F1740*G1740</f>
        <v>5097.9737999999998</v>
      </c>
      <c r="J1740" s="13">
        <f>F1740*H1740</f>
        <v>6504.3113999999996</v>
      </c>
    </row>
    <row r="1741" spans="1:10" s="1" customFormat="1" ht="25.5" customHeight="1" x14ac:dyDescent="0.2">
      <c r="A1741" s="8"/>
      <c r="B1741" s="9" t="s">
        <v>292</v>
      </c>
      <c r="C1741" s="137" t="s">
        <v>235</v>
      </c>
      <c r="D1741" s="152"/>
      <c r="E1741" s="152"/>
      <c r="F1741" s="152"/>
      <c r="G1741" s="138"/>
      <c r="H1741" s="8"/>
      <c r="I1741" s="8"/>
      <c r="J1741" s="8"/>
    </row>
    <row r="1742" spans="1:10" s="1" customFormat="1" ht="25.5" customHeight="1" x14ac:dyDescent="0.2">
      <c r="A1742" s="10">
        <v>88487</v>
      </c>
      <c r="B1742" s="11" t="s">
        <v>293</v>
      </c>
      <c r="C1742" s="139" t="s">
        <v>289</v>
      </c>
      <c r="D1742" s="140"/>
      <c r="E1742" s="11" t="s">
        <v>14</v>
      </c>
      <c r="F1742" s="12">
        <v>732.68</v>
      </c>
      <c r="G1742" s="12">
        <v>6.56</v>
      </c>
      <c r="H1742" s="12">
        <v>8.3699999999999992</v>
      </c>
      <c r="I1742" s="13">
        <f>F1742*G1742</f>
        <v>4806.380799999999</v>
      </c>
      <c r="J1742" s="13">
        <f>F1742*H1742</f>
        <v>6132.5315999999993</v>
      </c>
    </row>
    <row r="1743" spans="1:10" s="1" customFormat="1" ht="25.5" customHeight="1" x14ac:dyDescent="0.2">
      <c r="A1743" s="10">
        <v>88497</v>
      </c>
      <c r="B1743" s="11" t="s">
        <v>294</v>
      </c>
      <c r="C1743" s="139" t="s">
        <v>288</v>
      </c>
      <c r="D1743" s="140"/>
      <c r="E1743" s="11" t="s">
        <v>14</v>
      </c>
      <c r="F1743" s="12">
        <v>732.68</v>
      </c>
      <c r="G1743" s="12">
        <v>9.49</v>
      </c>
      <c r="H1743" s="12">
        <v>12.1</v>
      </c>
      <c r="I1743" s="13">
        <f>F1743*G1743</f>
        <v>6953.1331999999993</v>
      </c>
      <c r="J1743" s="13">
        <f>F1743*H1743</f>
        <v>8865.4279999999999</v>
      </c>
    </row>
    <row r="1744" spans="1:10" s="1" customFormat="1" ht="25.5" customHeight="1" x14ac:dyDescent="0.2">
      <c r="A1744" s="8"/>
      <c r="B1744" s="9" t="s">
        <v>295</v>
      </c>
      <c r="C1744" s="137" t="s">
        <v>296</v>
      </c>
      <c r="D1744" s="152"/>
      <c r="E1744" s="152"/>
      <c r="F1744" s="152"/>
      <c r="G1744" s="138"/>
      <c r="H1744" s="8"/>
      <c r="I1744" s="8"/>
      <c r="J1744" s="8"/>
    </row>
    <row r="1745" spans="1:10" s="1" customFormat="1" ht="25.5" customHeight="1" x14ac:dyDescent="0.2">
      <c r="A1745" s="11" t="s">
        <v>297</v>
      </c>
      <c r="B1745" s="21">
        <v>41000</v>
      </c>
      <c r="C1745" s="139" t="s">
        <v>298</v>
      </c>
      <c r="D1745" s="140"/>
      <c r="E1745" s="11" t="s">
        <v>14</v>
      </c>
      <c r="F1745" s="12">
        <v>257.60000000000002</v>
      </c>
      <c r="G1745" s="12">
        <v>13.87</v>
      </c>
      <c r="H1745" s="12">
        <v>17.7</v>
      </c>
      <c r="I1745" s="13">
        <f>F1745*G1745</f>
        <v>3572.9120000000003</v>
      </c>
      <c r="J1745" s="13">
        <f>F1745*H1745</f>
        <v>4559.5200000000004</v>
      </c>
    </row>
    <row r="1746" spans="1:10" s="1" customFormat="1" ht="25.5" customHeight="1" x14ac:dyDescent="0.2">
      <c r="A1746" s="10">
        <v>40905</v>
      </c>
      <c r="B1746" s="21">
        <v>41001</v>
      </c>
      <c r="C1746" s="139" t="s">
        <v>299</v>
      </c>
      <c r="D1746" s="140"/>
      <c r="E1746" s="11" t="s">
        <v>14</v>
      </c>
      <c r="F1746" s="12">
        <v>54.8</v>
      </c>
      <c r="G1746" s="12">
        <v>16.510000000000002</v>
      </c>
      <c r="H1746" s="12">
        <v>21.06</v>
      </c>
      <c r="I1746" s="13">
        <f>F1746*G1746</f>
        <v>904.74800000000005</v>
      </c>
      <c r="J1746" s="13">
        <f>F1746*H1746</f>
        <v>1154.088</v>
      </c>
    </row>
    <row r="1747" spans="1:10" s="1" customFormat="1" ht="25.5" customHeight="1" x14ac:dyDescent="0.2">
      <c r="A1747" s="11" t="s">
        <v>300</v>
      </c>
      <c r="B1747" s="21">
        <v>41002</v>
      </c>
      <c r="C1747" s="139" t="s">
        <v>301</v>
      </c>
      <c r="D1747" s="140"/>
      <c r="E1747" s="11" t="s">
        <v>14</v>
      </c>
      <c r="F1747" s="12">
        <v>170.5</v>
      </c>
      <c r="G1747" s="12">
        <v>20.6</v>
      </c>
      <c r="H1747" s="12">
        <v>26.28</v>
      </c>
      <c r="I1747" s="13">
        <f>F1747*G1747</f>
        <v>3512.3</v>
      </c>
      <c r="J1747" s="13">
        <f>F1747*H1747</f>
        <v>4480.74</v>
      </c>
    </row>
    <row r="1748" spans="1:10" s="1" customFormat="1" ht="25.5" customHeight="1" x14ac:dyDescent="0.2">
      <c r="A1748" s="8"/>
      <c r="B1748" s="149" t="s">
        <v>302</v>
      </c>
      <c r="C1748" s="150"/>
      <c r="D1748" s="150"/>
      <c r="E1748" s="150"/>
      <c r="F1748" s="150"/>
      <c r="G1748" s="151"/>
      <c r="H1748" s="8"/>
      <c r="I1748" s="14">
        <f>SUM(I1736:I1747)</f>
        <v>36788.697800000002</v>
      </c>
      <c r="J1748" s="15">
        <f>SUM(J1736:J1747)-1.2</f>
        <v>46925.767400000004</v>
      </c>
    </row>
    <row r="1749" spans="1:10" s="1" customFormat="1" ht="25.5" customHeight="1" x14ac:dyDescent="0.2">
      <c r="A1749" s="8"/>
      <c r="B1749" s="9" t="s">
        <v>303</v>
      </c>
      <c r="C1749" s="137" t="s">
        <v>304</v>
      </c>
      <c r="D1749" s="152"/>
      <c r="E1749" s="152"/>
      <c r="F1749" s="152"/>
      <c r="G1749" s="152"/>
      <c r="H1749" s="152"/>
      <c r="I1749" s="138"/>
      <c r="J1749" s="8"/>
    </row>
    <row r="1750" spans="1:10" s="1" customFormat="1" ht="25.5" customHeight="1" x14ac:dyDescent="0.2">
      <c r="A1750" s="11" t="s">
        <v>305</v>
      </c>
      <c r="B1750" s="11" t="s">
        <v>306</v>
      </c>
      <c r="C1750" s="139" t="s">
        <v>307</v>
      </c>
      <c r="D1750" s="140"/>
      <c r="E1750" s="11" t="s">
        <v>14</v>
      </c>
      <c r="F1750" s="12">
        <v>43.5</v>
      </c>
      <c r="G1750" s="12">
        <v>224.11</v>
      </c>
      <c r="H1750" s="12">
        <v>285.94</v>
      </c>
      <c r="I1750" s="13">
        <f t="shared" ref="I1750:I1770" si="150">F1750*G1750</f>
        <v>9748.7849999999999</v>
      </c>
      <c r="J1750" s="13">
        <f t="shared" ref="J1750:J1770" si="151">F1750*H1750</f>
        <v>12438.39</v>
      </c>
    </row>
    <row r="1751" spans="1:10" s="1" customFormat="1" ht="25.5" customHeight="1" x14ac:dyDescent="0.2">
      <c r="A1751" s="11" t="s">
        <v>308</v>
      </c>
      <c r="B1751" s="11" t="s">
        <v>309</v>
      </c>
      <c r="C1751" s="139" t="s">
        <v>310</v>
      </c>
      <c r="D1751" s="140"/>
      <c r="E1751" s="11" t="s">
        <v>14</v>
      </c>
      <c r="F1751" s="12">
        <v>10.5</v>
      </c>
      <c r="G1751" s="12">
        <v>312.5</v>
      </c>
      <c r="H1751" s="12">
        <v>398.72</v>
      </c>
      <c r="I1751" s="13">
        <f t="shared" si="150"/>
        <v>3281.25</v>
      </c>
      <c r="J1751" s="13">
        <f t="shared" si="151"/>
        <v>4186.5600000000004</v>
      </c>
    </row>
    <row r="1752" spans="1:10" s="1" customFormat="1" ht="25.5" customHeight="1" x14ac:dyDescent="0.2">
      <c r="A1752" s="11" t="s">
        <v>78</v>
      </c>
      <c r="B1752" s="11" t="s">
        <v>311</v>
      </c>
      <c r="C1752" s="139" t="s">
        <v>312</v>
      </c>
      <c r="D1752" s="140"/>
      <c r="E1752" s="11" t="s">
        <v>14</v>
      </c>
      <c r="F1752" s="12">
        <v>53</v>
      </c>
      <c r="G1752" s="12">
        <v>323.14</v>
      </c>
      <c r="H1752" s="12">
        <v>412.29</v>
      </c>
      <c r="I1752" s="13">
        <f t="shared" si="150"/>
        <v>17126.419999999998</v>
      </c>
      <c r="J1752" s="13">
        <f t="shared" si="151"/>
        <v>21851.370000000003</v>
      </c>
    </row>
    <row r="1753" spans="1:10" s="1" customFormat="1" ht="25.5" customHeight="1" x14ac:dyDescent="0.2">
      <c r="A1753" s="11" t="s">
        <v>305</v>
      </c>
      <c r="B1753" s="11" t="s">
        <v>313</v>
      </c>
      <c r="C1753" s="139" t="s">
        <v>314</v>
      </c>
      <c r="D1753" s="140"/>
      <c r="E1753" s="11" t="s">
        <v>14</v>
      </c>
      <c r="F1753" s="12">
        <v>35.700000000000003</v>
      </c>
      <c r="G1753" s="12">
        <v>224.11</v>
      </c>
      <c r="H1753" s="12">
        <v>285.94</v>
      </c>
      <c r="I1753" s="13">
        <f t="shared" si="150"/>
        <v>8000.7270000000008</v>
      </c>
      <c r="J1753" s="13">
        <f t="shared" si="151"/>
        <v>10208.058000000001</v>
      </c>
    </row>
    <row r="1754" spans="1:10" s="1" customFormat="1" ht="25.5" customHeight="1" x14ac:dyDescent="0.2">
      <c r="A1754" s="10">
        <v>20231</v>
      </c>
      <c r="B1754" s="11" t="s">
        <v>315</v>
      </c>
      <c r="C1754" s="139" t="s">
        <v>316</v>
      </c>
      <c r="D1754" s="140"/>
      <c r="E1754" s="11" t="s">
        <v>81</v>
      </c>
      <c r="F1754" s="12">
        <v>65.8</v>
      </c>
      <c r="G1754" s="12">
        <v>33.93</v>
      </c>
      <c r="H1754" s="12">
        <v>43.29</v>
      </c>
      <c r="I1754" s="13">
        <f t="shared" si="150"/>
        <v>2232.5940000000001</v>
      </c>
      <c r="J1754" s="13">
        <f t="shared" si="151"/>
        <v>2848.482</v>
      </c>
    </row>
    <row r="1755" spans="1:10" s="1" customFormat="1" ht="25.5" customHeight="1" x14ac:dyDescent="0.2">
      <c r="A1755" s="10">
        <v>20231</v>
      </c>
      <c r="B1755" s="11" t="s">
        <v>317</v>
      </c>
      <c r="C1755" s="139" t="s">
        <v>318</v>
      </c>
      <c r="D1755" s="140"/>
      <c r="E1755" s="11" t="s">
        <v>81</v>
      </c>
      <c r="F1755" s="12">
        <v>99.5</v>
      </c>
      <c r="G1755" s="12">
        <v>33.93</v>
      </c>
      <c r="H1755" s="12">
        <v>43.29</v>
      </c>
      <c r="I1755" s="13">
        <f t="shared" si="150"/>
        <v>3376.0349999999999</v>
      </c>
      <c r="J1755" s="13">
        <f t="shared" si="151"/>
        <v>4307.3549999999996</v>
      </c>
    </row>
    <row r="1756" spans="1:10" s="1" customFormat="1" ht="25.5" customHeight="1" x14ac:dyDescent="0.2">
      <c r="A1756" s="10">
        <v>20231</v>
      </c>
      <c r="B1756" s="11" t="s">
        <v>319</v>
      </c>
      <c r="C1756" s="139" t="s">
        <v>320</v>
      </c>
      <c r="D1756" s="140"/>
      <c r="E1756" s="11" t="s">
        <v>81</v>
      </c>
      <c r="F1756" s="12">
        <v>130.80000000000001</v>
      </c>
      <c r="G1756" s="12">
        <v>33.93</v>
      </c>
      <c r="H1756" s="12">
        <v>43.29</v>
      </c>
      <c r="I1756" s="13">
        <f t="shared" si="150"/>
        <v>4438.0440000000008</v>
      </c>
      <c r="J1756" s="13">
        <f t="shared" si="151"/>
        <v>5662.3320000000003</v>
      </c>
    </row>
    <row r="1757" spans="1:10" s="1" customFormat="1" ht="25.5" customHeight="1" x14ac:dyDescent="0.2">
      <c r="A1757" s="10">
        <v>20231</v>
      </c>
      <c r="B1757" s="11" t="s">
        <v>321</v>
      </c>
      <c r="C1757" s="139" t="s">
        <v>322</v>
      </c>
      <c r="D1757" s="140"/>
      <c r="E1757" s="11" t="s">
        <v>81</v>
      </c>
      <c r="F1757" s="12">
        <v>90.4</v>
      </c>
      <c r="G1757" s="12">
        <v>33.93</v>
      </c>
      <c r="H1757" s="12">
        <v>43.29</v>
      </c>
      <c r="I1757" s="13">
        <f t="shared" si="150"/>
        <v>3067.2720000000004</v>
      </c>
      <c r="J1757" s="13">
        <f t="shared" si="151"/>
        <v>3913.4160000000002</v>
      </c>
    </row>
    <row r="1758" spans="1:10" s="1" customFormat="1" ht="25.5" customHeight="1" x14ac:dyDescent="0.2">
      <c r="A1758" s="10">
        <v>20231</v>
      </c>
      <c r="B1758" s="11" t="s">
        <v>323</v>
      </c>
      <c r="C1758" s="139" t="s">
        <v>324</v>
      </c>
      <c r="D1758" s="140"/>
      <c r="E1758" s="11" t="s">
        <v>81</v>
      </c>
      <c r="F1758" s="12">
        <v>19.2</v>
      </c>
      <c r="G1758" s="12">
        <v>33.93</v>
      </c>
      <c r="H1758" s="12">
        <v>43.29</v>
      </c>
      <c r="I1758" s="13">
        <f t="shared" si="150"/>
        <v>651.45600000000002</v>
      </c>
      <c r="J1758" s="13">
        <f t="shared" si="151"/>
        <v>831.16800000000001</v>
      </c>
    </row>
    <row r="1759" spans="1:10" s="1" customFormat="1" ht="25.5" customHeight="1" x14ac:dyDescent="0.2">
      <c r="A1759" s="11" t="s">
        <v>308</v>
      </c>
      <c r="B1759" s="11" t="s">
        <v>325</v>
      </c>
      <c r="C1759" s="139" t="s">
        <v>326</v>
      </c>
      <c r="D1759" s="140"/>
      <c r="E1759" s="11" t="s">
        <v>102</v>
      </c>
      <c r="F1759" s="12">
        <v>2</v>
      </c>
      <c r="G1759" s="12">
        <v>58.84</v>
      </c>
      <c r="H1759" s="12">
        <v>75.069999999999993</v>
      </c>
      <c r="I1759" s="13">
        <f t="shared" si="150"/>
        <v>117.68</v>
      </c>
      <c r="J1759" s="13">
        <f t="shared" si="151"/>
        <v>150.13999999999999</v>
      </c>
    </row>
    <row r="1760" spans="1:10" s="1" customFormat="1" ht="25.5" customHeight="1" x14ac:dyDescent="0.2">
      <c r="A1760" s="10">
        <v>84862</v>
      </c>
      <c r="B1760" s="11" t="s">
        <v>327</v>
      </c>
      <c r="C1760" s="139" t="s">
        <v>328</v>
      </c>
      <c r="D1760" s="140"/>
      <c r="E1760" s="11" t="s">
        <v>81</v>
      </c>
      <c r="F1760" s="12">
        <v>10.9</v>
      </c>
      <c r="G1760" s="12">
        <v>190.09</v>
      </c>
      <c r="H1760" s="12">
        <v>242.53</v>
      </c>
      <c r="I1760" s="13">
        <f t="shared" si="150"/>
        <v>2071.9810000000002</v>
      </c>
      <c r="J1760" s="13">
        <f t="shared" si="151"/>
        <v>2643.5770000000002</v>
      </c>
    </row>
    <row r="1761" spans="1:10" s="1" customFormat="1" ht="25.5" customHeight="1" x14ac:dyDescent="0.2">
      <c r="A1761" s="11" t="s">
        <v>329</v>
      </c>
      <c r="B1761" s="11" t="s">
        <v>330</v>
      </c>
      <c r="C1761" s="139" t="s">
        <v>331</v>
      </c>
      <c r="D1761" s="140"/>
      <c r="E1761" s="11" t="s">
        <v>81</v>
      </c>
      <c r="F1761" s="12">
        <v>11.79</v>
      </c>
      <c r="G1761" s="12">
        <v>222.14</v>
      </c>
      <c r="H1761" s="12">
        <v>283.43</v>
      </c>
      <c r="I1761" s="13">
        <f t="shared" si="150"/>
        <v>2619.0305999999996</v>
      </c>
      <c r="J1761" s="13">
        <f t="shared" si="151"/>
        <v>3341.6396999999997</v>
      </c>
    </row>
    <row r="1762" spans="1:10" s="1" customFormat="1" ht="25.5" customHeight="1" x14ac:dyDescent="0.2">
      <c r="A1762" s="11" t="s">
        <v>78</v>
      </c>
      <c r="B1762" s="11" t="s">
        <v>332</v>
      </c>
      <c r="C1762" s="139" t="s">
        <v>333</v>
      </c>
      <c r="D1762" s="140"/>
      <c r="E1762" s="11" t="s">
        <v>102</v>
      </c>
      <c r="F1762" s="12">
        <v>1</v>
      </c>
      <c r="G1762" s="12">
        <v>474.97</v>
      </c>
      <c r="H1762" s="12">
        <v>606.01</v>
      </c>
      <c r="I1762" s="13">
        <f t="shared" si="150"/>
        <v>474.97</v>
      </c>
      <c r="J1762" s="13">
        <f t="shared" si="151"/>
        <v>606.01</v>
      </c>
    </row>
    <row r="1763" spans="1:10" s="1" customFormat="1" ht="25.5" customHeight="1" x14ac:dyDescent="0.2">
      <c r="A1763" s="11" t="s">
        <v>308</v>
      </c>
      <c r="B1763" s="11" t="s">
        <v>334</v>
      </c>
      <c r="C1763" s="139" t="s">
        <v>335</v>
      </c>
      <c r="D1763" s="140"/>
      <c r="E1763" s="11" t="s">
        <v>336</v>
      </c>
      <c r="F1763" s="12">
        <v>2</v>
      </c>
      <c r="G1763" s="12">
        <v>891.52</v>
      </c>
      <c r="H1763" s="13">
        <v>1137.49</v>
      </c>
      <c r="I1763" s="13">
        <f t="shared" si="150"/>
        <v>1783.04</v>
      </c>
      <c r="J1763" s="13">
        <f t="shared" si="151"/>
        <v>2274.98</v>
      </c>
    </row>
    <row r="1764" spans="1:10" s="1" customFormat="1" ht="25.5" customHeight="1" x14ac:dyDescent="0.2">
      <c r="A1764" s="11" t="s">
        <v>308</v>
      </c>
      <c r="B1764" s="11" t="s">
        <v>337</v>
      </c>
      <c r="C1764" s="139" t="s">
        <v>338</v>
      </c>
      <c r="D1764" s="140"/>
      <c r="E1764" s="11" t="s">
        <v>102</v>
      </c>
      <c r="F1764" s="12">
        <v>8</v>
      </c>
      <c r="G1764" s="12">
        <v>179</v>
      </c>
      <c r="H1764" s="12">
        <v>228.39</v>
      </c>
      <c r="I1764" s="13">
        <f t="shared" si="150"/>
        <v>1432</v>
      </c>
      <c r="J1764" s="13">
        <f t="shared" si="151"/>
        <v>1827.12</v>
      </c>
    </row>
    <row r="1765" spans="1:10" s="1" customFormat="1" ht="25.5" customHeight="1" x14ac:dyDescent="0.2">
      <c r="A1765" s="11" t="s">
        <v>308</v>
      </c>
      <c r="B1765" s="11" t="s">
        <v>339</v>
      </c>
      <c r="C1765" s="139" t="s">
        <v>340</v>
      </c>
      <c r="D1765" s="140"/>
      <c r="E1765" s="11" t="s">
        <v>336</v>
      </c>
      <c r="F1765" s="12">
        <v>2</v>
      </c>
      <c r="G1765" s="12">
        <v>144</v>
      </c>
      <c r="H1765" s="12">
        <v>183.73</v>
      </c>
      <c r="I1765" s="13">
        <f t="shared" si="150"/>
        <v>288</v>
      </c>
      <c r="J1765" s="13">
        <f t="shared" si="151"/>
        <v>367.46</v>
      </c>
    </row>
    <row r="1766" spans="1:10" s="1" customFormat="1" ht="25.5" customHeight="1" x14ac:dyDescent="0.2">
      <c r="A1766" s="11" t="s">
        <v>78</v>
      </c>
      <c r="B1766" s="11" t="s">
        <v>341</v>
      </c>
      <c r="C1766" s="139" t="s">
        <v>342</v>
      </c>
      <c r="D1766" s="140"/>
      <c r="E1766" s="11" t="s">
        <v>81</v>
      </c>
      <c r="F1766" s="12">
        <v>2.85</v>
      </c>
      <c r="G1766" s="12">
        <v>201.25</v>
      </c>
      <c r="H1766" s="12">
        <v>256.77</v>
      </c>
      <c r="I1766" s="13">
        <f t="shared" si="150"/>
        <v>573.5625</v>
      </c>
      <c r="J1766" s="13">
        <f t="shared" si="151"/>
        <v>731.79449999999997</v>
      </c>
    </row>
    <row r="1767" spans="1:10" s="1" customFormat="1" ht="25.5" customHeight="1" x14ac:dyDescent="0.2">
      <c r="A1767" s="11" t="s">
        <v>78</v>
      </c>
      <c r="B1767" s="11" t="s">
        <v>343</v>
      </c>
      <c r="C1767" s="139" t="s">
        <v>344</v>
      </c>
      <c r="D1767" s="140"/>
      <c r="E1767" s="11" t="s">
        <v>81</v>
      </c>
      <c r="F1767" s="12">
        <v>9.1999999999999993</v>
      </c>
      <c r="G1767" s="12">
        <v>356.72</v>
      </c>
      <c r="H1767" s="12">
        <v>455.13</v>
      </c>
      <c r="I1767" s="13">
        <f t="shared" si="150"/>
        <v>3281.8240000000001</v>
      </c>
      <c r="J1767" s="13">
        <f t="shared" si="151"/>
        <v>4187.1959999999999</v>
      </c>
    </row>
    <row r="1768" spans="1:10" s="1" customFormat="1" ht="25.5" customHeight="1" x14ac:dyDescent="0.2">
      <c r="A1768" s="11" t="s">
        <v>345</v>
      </c>
      <c r="B1768" s="11" t="s">
        <v>346</v>
      </c>
      <c r="C1768" s="139" t="s">
        <v>347</v>
      </c>
      <c r="D1768" s="140"/>
      <c r="E1768" s="11" t="s">
        <v>102</v>
      </c>
      <c r="F1768" s="12">
        <v>3</v>
      </c>
      <c r="G1768" s="13">
        <v>2030.45</v>
      </c>
      <c r="H1768" s="13">
        <v>2590.64</v>
      </c>
      <c r="I1768" s="13">
        <f t="shared" si="150"/>
        <v>6091.35</v>
      </c>
      <c r="J1768" s="13">
        <f t="shared" si="151"/>
        <v>7771.92</v>
      </c>
    </row>
    <row r="1769" spans="1:10" s="1" customFormat="1" ht="25.5" customHeight="1" x14ac:dyDescent="0.2">
      <c r="A1769" s="11" t="s">
        <v>308</v>
      </c>
      <c r="B1769" s="11" t="s">
        <v>348</v>
      </c>
      <c r="C1769" s="139" t="s">
        <v>349</v>
      </c>
      <c r="D1769" s="140"/>
      <c r="E1769" s="11" t="s">
        <v>102</v>
      </c>
      <c r="F1769" s="12">
        <v>2</v>
      </c>
      <c r="G1769" s="12">
        <v>415</v>
      </c>
      <c r="H1769" s="12">
        <v>529.5</v>
      </c>
      <c r="I1769" s="13">
        <f t="shared" si="150"/>
        <v>830</v>
      </c>
      <c r="J1769" s="13">
        <f t="shared" si="151"/>
        <v>1059</v>
      </c>
    </row>
    <row r="1770" spans="1:10" s="1" customFormat="1" ht="25.5" customHeight="1" x14ac:dyDescent="0.2">
      <c r="A1770" s="11" t="s">
        <v>308</v>
      </c>
      <c r="B1770" s="11" t="s">
        <v>350</v>
      </c>
      <c r="C1770" s="139" t="s">
        <v>351</v>
      </c>
      <c r="D1770" s="140"/>
      <c r="E1770" s="11" t="s">
        <v>102</v>
      </c>
      <c r="F1770" s="12">
        <v>1</v>
      </c>
      <c r="G1770" s="12">
        <v>63.04</v>
      </c>
      <c r="H1770" s="12">
        <v>80.430000000000007</v>
      </c>
      <c r="I1770" s="13">
        <f t="shared" si="150"/>
        <v>63.04</v>
      </c>
      <c r="J1770" s="13">
        <f t="shared" si="151"/>
        <v>80.430000000000007</v>
      </c>
    </row>
    <row r="1771" spans="1:10" s="1" customFormat="1" ht="25.5" customHeight="1" x14ac:dyDescent="0.2">
      <c r="A1771" s="8"/>
      <c r="B1771" s="149" t="s">
        <v>352</v>
      </c>
      <c r="C1771" s="150"/>
      <c r="D1771" s="150"/>
      <c r="E1771" s="150"/>
      <c r="F1771" s="150"/>
      <c r="G1771" s="151"/>
      <c r="H1771" s="8"/>
      <c r="I1771" s="14">
        <f>SUM(I1750:I1770)-0.06</f>
        <v>71549.001099999994</v>
      </c>
      <c r="J1771" s="15">
        <f>SUM(J1750:J1770)</f>
        <v>91288.398199999996</v>
      </c>
    </row>
    <row r="1772" spans="1:10" s="1" customFormat="1" ht="25.5" customHeight="1" x14ac:dyDescent="0.2">
      <c r="A1772" s="8"/>
      <c r="B1772" s="9" t="s">
        <v>353</v>
      </c>
      <c r="C1772" s="137" t="s">
        <v>354</v>
      </c>
      <c r="D1772" s="138"/>
      <c r="E1772" s="8"/>
      <c r="F1772" s="8"/>
      <c r="G1772" s="8"/>
      <c r="H1772" s="8"/>
      <c r="I1772" s="8"/>
      <c r="J1772" s="8"/>
    </row>
    <row r="1773" spans="1:10" s="1" customFormat="1" ht="25.5" customHeight="1" x14ac:dyDescent="0.2">
      <c r="A1773" s="8"/>
      <c r="B1773" s="9" t="s">
        <v>355</v>
      </c>
      <c r="C1773" s="137" t="s">
        <v>356</v>
      </c>
      <c r="D1773" s="138"/>
      <c r="E1773" s="8"/>
      <c r="F1773" s="8"/>
      <c r="G1773" s="8"/>
      <c r="H1773" s="8"/>
      <c r="I1773" s="8"/>
      <c r="J1773" s="8"/>
    </row>
    <row r="1774" spans="1:10" s="1" customFormat="1" ht="25.5" customHeight="1" x14ac:dyDescent="0.2">
      <c r="A1774" s="8"/>
      <c r="B1774" s="23">
        <v>41640</v>
      </c>
      <c r="C1774" s="137" t="s">
        <v>357</v>
      </c>
      <c r="D1774" s="138"/>
      <c r="E1774" s="8"/>
      <c r="F1774" s="8"/>
      <c r="G1774" s="8"/>
      <c r="H1774" s="8"/>
      <c r="I1774" s="8"/>
      <c r="J1774" s="8"/>
    </row>
    <row r="1775" spans="1:10" s="1" customFormat="1" ht="25.5" customHeight="1" x14ac:dyDescent="0.2">
      <c r="A1775" s="11" t="s">
        <v>358</v>
      </c>
      <c r="B1775" s="11" t="s">
        <v>359</v>
      </c>
      <c r="C1775" s="139" t="s">
        <v>360</v>
      </c>
      <c r="D1775" s="140"/>
      <c r="E1775" s="11" t="s">
        <v>81</v>
      </c>
      <c r="F1775" s="12">
        <v>172</v>
      </c>
      <c r="G1775" s="12">
        <v>11.27</v>
      </c>
      <c r="H1775" s="12">
        <v>14.38</v>
      </c>
      <c r="I1775" s="13">
        <f>F1775*G1775</f>
        <v>1938.4399999999998</v>
      </c>
      <c r="J1775" s="13">
        <f>F1775*H1775</f>
        <v>2473.36</v>
      </c>
    </row>
    <row r="1776" spans="1:10" s="1" customFormat="1" ht="25.5" customHeight="1" x14ac:dyDescent="0.2">
      <c r="A1776" s="11" t="s">
        <v>361</v>
      </c>
      <c r="B1776" s="11" t="s">
        <v>362</v>
      </c>
      <c r="C1776" s="139" t="s">
        <v>363</v>
      </c>
      <c r="D1776" s="140"/>
      <c r="E1776" s="11" t="s">
        <v>81</v>
      </c>
      <c r="F1776" s="12">
        <v>169</v>
      </c>
      <c r="G1776" s="12">
        <v>11.89</v>
      </c>
      <c r="H1776" s="12">
        <v>15.17</v>
      </c>
      <c r="I1776" s="13">
        <f>F1776*G1776</f>
        <v>2009.41</v>
      </c>
      <c r="J1776" s="13">
        <f>F1776*H1776</f>
        <v>2563.73</v>
      </c>
    </row>
    <row r="1777" spans="1:10" s="1" customFormat="1" ht="25.5" customHeight="1" x14ac:dyDescent="0.2">
      <c r="A1777" s="11" t="s">
        <v>364</v>
      </c>
      <c r="B1777" s="11" t="s">
        <v>365</v>
      </c>
      <c r="C1777" s="139" t="s">
        <v>366</v>
      </c>
      <c r="D1777" s="140"/>
      <c r="E1777" s="11" t="s">
        <v>81</v>
      </c>
      <c r="F1777" s="12">
        <v>66</v>
      </c>
      <c r="G1777" s="12">
        <v>28.56</v>
      </c>
      <c r="H1777" s="12">
        <v>36.44</v>
      </c>
      <c r="I1777" s="13">
        <f>F1777*G1777</f>
        <v>1884.9599999999998</v>
      </c>
      <c r="J1777" s="13">
        <f>F1777*H1777</f>
        <v>2405.04</v>
      </c>
    </row>
    <row r="1778" spans="1:10" s="1" customFormat="1" ht="25.5" customHeight="1" x14ac:dyDescent="0.2">
      <c r="A1778" s="11" t="s">
        <v>367</v>
      </c>
      <c r="B1778" s="11" t="s">
        <v>368</v>
      </c>
      <c r="C1778" s="139" t="s">
        <v>369</v>
      </c>
      <c r="D1778" s="140"/>
      <c r="E1778" s="11" t="s">
        <v>81</v>
      </c>
      <c r="F1778" s="12">
        <v>39</v>
      </c>
      <c r="G1778" s="12">
        <v>35.53</v>
      </c>
      <c r="H1778" s="12">
        <v>45.34</v>
      </c>
      <c r="I1778" s="13">
        <f>F1778*G1778</f>
        <v>1385.67</v>
      </c>
      <c r="J1778" s="13">
        <f>F1778*H1778</f>
        <v>1768.2600000000002</v>
      </c>
    </row>
    <row r="1779" spans="1:10" s="1" customFormat="1" ht="25.5" customHeight="1" x14ac:dyDescent="0.2">
      <c r="A1779" s="11" t="s">
        <v>370</v>
      </c>
      <c r="B1779" s="11" t="s">
        <v>371</v>
      </c>
      <c r="C1779" s="139" t="s">
        <v>372</v>
      </c>
      <c r="D1779" s="140"/>
      <c r="E1779" s="11" t="s">
        <v>81</v>
      </c>
      <c r="F1779" s="12">
        <v>87</v>
      </c>
      <c r="G1779" s="12">
        <v>47.11</v>
      </c>
      <c r="H1779" s="12">
        <v>60.1</v>
      </c>
      <c r="I1779" s="13">
        <f>F1779*G1779</f>
        <v>4098.57</v>
      </c>
      <c r="J1779" s="13">
        <f>F1779*H1779</f>
        <v>5228.7</v>
      </c>
    </row>
    <row r="1780" spans="1:10" s="1" customFormat="1" ht="25.5" customHeight="1" x14ac:dyDescent="0.2">
      <c r="A1780" s="8"/>
      <c r="B1780" s="23">
        <v>41641</v>
      </c>
      <c r="C1780" s="137" t="s">
        <v>373</v>
      </c>
      <c r="D1780" s="138"/>
      <c r="E1780" s="8"/>
      <c r="F1780" s="8"/>
      <c r="G1780" s="8"/>
      <c r="H1780" s="8"/>
      <c r="I1780" s="8"/>
      <c r="J1780" s="8"/>
    </row>
    <row r="1781" spans="1:10" s="1" customFormat="1" ht="25.5" customHeight="1" x14ac:dyDescent="0.2">
      <c r="A1781" s="10">
        <v>89383</v>
      </c>
      <c r="B1781" s="11" t="s">
        <v>374</v>
      </c>
      <c r="C1781" s="139" t="s">
        <v>375</v>
      </c>
      <c r="D1781" s="140"/>
      <c r="E1781" s="11" t="s">
        <v>102</v>
      </c>
      <c r="F1781" s="12">
        <v>125</v>
      </c>
      <c r="G1781" s="12">
        <v>5.09</v>
      </c>
      <c r="H1781" s="12">
        <v>6.49</v>
      </c>
      <c r="I1781" s="13">
        <f t="shared" ref="I1781:I1788" si="152">F1781*G1781</f>
        <v>636.25</v>
      </c>
      <c r="J1781" s="13">
        <f t="shared" ref="J1781:J1788" si="153">F1781*H1781</f>
        <v>811.25</v>
      </c>
    </row>
    <row r="1782" spans="1:10" s="1" customFormat="1" ht="25.5" customHeight="1" x14ac:dyDescent="0.2">
      <c r="A1782" s="10">
        <v>89391</v>
      </c>
      <c r="B1782" s="11" t="s">
        <v>376</v>
      </c>
      <c r="C1782" s="139" t="s">
        <v>377</v>
      </c>
      <c r="D1782" s="140"/>
      <c r="E1782" s="11" t="s">
        <v>102</v>
      </c>
      <c r="F1782" s="12">
        <v>30</v>
      </c>
      <c r="G1782" s="12">
        <v>6.77</v>
      </c>
      <c r="H1782" s="12">
        <v>8.64</v>
      </c>
      <c r="I1782" s="13">
        <f t="shared" si="152"/>
        <v>203.1</v>
      </c>
      <c r="J1782" s="13">
        <f t="shared" si="153"/>
        <v>259.20000000000005</v>
      </c>
    </row>
    <row r="1783" spans="1:10" s="1" customFormat="1" ht="25.5" customHeight="1" x14ac:dyDescent="0.2">
      <c r="A1783" s="10">
        <v>89595</v>
      </c>
      <c r="B1783" s="11" t="s">
        <v>378</v>
      </c>
      <c r="C1783" s="139" t="s">
        <v>379</v>
      </c>
      <c r="D1783" s="140"/>
      <c r="E1783" s="11" t="s">
        <v>102</v>
      </c>
      <c r="F1783" s="12">
        <v>30</v>
      </c>
      <c r="G1783" s="12">
        <v>10.76</v>
      </c>
      <c r="H1783" s="12">
        <v>13.73</v>
      </c>
      <c r="I1783" s="13">
        <f t="shared" si="152"/>
        <v>322.8</v>
      </c>
      <c r="J1783" s="13">
        <f t="shared" si="153"/>
        <v>411.90000000000003</v>
      </c>
    </row>
    <row r="1784" spans="1:10" s="1" customFormat="1" ht="25.5" customHeight="1" x14ac:dyDescent="0.2">
      <c r="A1784" s="10">
        <v>94668</v>
      </c>
      <c r="B1784" s="11" t="s">
        <v>380</v>
      </c>
      <c r="C1784" s="139" t="s">
        <v>381</v>
      </c>
      <c r="D1784" s="140"/>
      <c r="E1784" s="11" t="s">
        <v>102</v>
      </c>
      <c r="F1784" s="12">
        <v>11</v>
      </c>
      <c r="G1784" s="12">
        <v>42.01</v>
      </c>
      <c r="H1784" s="12">
        <v>53.6</v>
      </c>
      <c r="I1784" s="13">
        <f t="shared" si="152"/>
        <v>462.10999999999996</v>
      </c>
      <c r="J1784" s="13">
        <f t="shared" si="153"/>
        <v>589.6</v>
      </c>
    </row>
    <row r="1785" spans="1:10" s="1" customFormat="1" ht="25.5" customHeight="1" x14ac:dyDescent="0.2">
      <c r="A1785" s="10">
        <v>94708</v>
      </c>
      <c r="B1785" s="11" t="s">
        <v>382</v>
      </c>
      <c r="C1785" s="139" t="s">
        <v>383</v>
      </c>
      <c r="D1785" s="140"/>
      <c r="E1785" s="11" t="s">
        <v>102</v>
      </c>
      <c r="F1785" s="12">
        <v>1</v>
      </c>
      <c r="G1785" s="12">
        <v>19.79</v>
      </c>
      <c r="H1785" s="12">
        <v>25.25</v>
      </c>
      <c r="I1785" s="13">
        <f t="shared" si="152"/>
        <v>19.79</v>
      </c>
      <c r="J1785" s="13">
        <f t="shared" si="153"/>
        <v>25.25</v>
      </c>
    </row>
    <row r="1786" spans="1:10" s="1" customFormat="1" ht="25.5" customHeight="1" x14ac:dyDescent="0.2">
      <c r="A1786" s="10">
        <v>94709</v>
      </c>
      <c r="B1786" s="11" t="s">
        <v>384</v>
      </c>
      <c r="C1786" s="139" t="s">
        <v>385</v>
      </c>
      <c r="D1786" s="140"/>
      <c r="E1786" s="11" t="s">
        <v>102</v>
      </c>
      <c r="F1786" s="12">
        <v>1</v>
      </c>
      <c r="G1786" s="12">
        <v>23.32</v>
      </c>
      <c r="H1786" s="12">
        <v>29.75</v>
      </c>
      <c r="I1786" s="13">
        <f t="shared" si="152"/>
        <v>23.32</v>
      </c>
      <c r="J1786" s="13">
        <f t="shared" si="153"/>
        <v>29.75</v>
      </c>
    </row>
    <row r="1787" spans="1:10" s="1" customFormat="1" ht="25.5" customHeight="1" x14ac:dyDescent="0.2">
      <c r="A1787" s="10">
        <v>94711</v>
      </c>
      <c r="B1787" s="11" t="s">
        <v>386</v>
      </c>
      <c r="C1787" s="139" t="s">
        <v>387</v>
      </c>
      <c r="D1787" s="140"/>
      <c r="E1787" s="11" t="s">
        <v>102</v>
      </c>
      <c r="F1787" s="12">
        <v>5</v>
      </c>
      <c r="G1787" s="12">
        <v>40.08</v>
      </c>
      <c r="H1787" s="12">
        <v>51.14</v>
      </c>
      <c r="I1787" s="13">
        <f t="shared" si="152"/>
        <v>200.39999999999998</v>
      </c>
      <c r="J1787" s="13">
        <f t="shared" si="153"/>
        <v>255.7</v>
      </c>
    </row>
    <row r="1788" spans="1:10" s="1" customFormat="1" ht="25.5" customHeight="1" x14ac:dyDescent="0.2">
      <c r="A1788" s="10">
        <v>94714</v>
      </c>
      <c r="B1788" s="11" t="s">
        <v>388</v>
      </c>
      <c r="C1788" s="139" t="s">
        <v>389</v>
      </c>
      <c r="D1788" s="140"/>
      <c r="E1788" s="11" t="s">
        <v>102</v>
      </c>
      <c r="F1788" s="12">
        <v>1</v>
      </c>
      <c r="G1788" s="12">
        <v>199.75</v>
      </c>
      <c r="H1788" s="12">
        <v>254.86</v>
      </c>
      <c r="I1788" s="13">
        <f t="shared" si="152"/>
        <v>199.75</v>
      </c>
      <c r="J1788" s="13">
        <f t="shared" si="153"/>
        <v>254.86</v>
      </c>
    </row>
    <row r="1789" spans="1:10" s="1" customFormat="1" ht="25.5" customHeight="1" x14ac:dyDescent="0.2">
      <c r="A1789" s="8"/>
      <c r="B1789" s="23">
        <v>41642</v>
      </c>
      <c r="C1789" s="137" t="s">
        <v>390</v>
      </c>
      <c r="D1789" s="138"/>
      <c r="E1789" s="8"/>
      <c r="F1789" s="8"/>
      <c r="G1789" s="8"/>
      <c r="H1789" s="8"/>
      <c r="I1789" s="8"/>
      <c r="J1789" s="8"/>
    </row>
    <row r="1790" spans="1:10" s="1" customFormat="1" ht="25.5" customHeight="1" x14ac:dyDescent="0.2">
      <c r="A1790" s="11" t="s">
        <v>391</v>
      </c>
      <c r="B1790" s="11" t="s">
        <v>392</v>
      </c>
      <c r="C1790" s="139" t="s">
        <v>393</v>
      </c>
      <c r="D1790" s="140"/>
      <c r="E1790" s="11" t="s">
        <v>102</v>
      </c>
      <c r="F1790" s="12">
        <v>13</v>
      </c>
      <c r="G1790" s="12">
        <v>3.37</v>
      </c>
      <c r="H1790" s="12">
        <v>4.29</v>
      </c>
      <c r="I1790" s="13">
        <f t="shared" ref="I1790:I1796" si="154">F1790*G1790</f>
        <v>43.81</v>
      </c>
      <c r="J1790" s="13">
        <f t="shared" ref="J1790:J1796" si="155">F1790*H1790</f>
        <v>55.77</v>
      </c>
    </row>
    <row r="1791" spans="1:10" s="1" customFormat="1" ht="25.5" customHeight="1" x14ac:dyDescent="0.2">
      <c r="A1791" s="11" t="s">
        <v>394</v>
      </c>
      <c r="B1791" s="11" t="s">
        <v>395</v>
      </c>
      <c r="C1791" s="139" t="s">
        <v>396</v>
      </c>
      <c r="D1791" s="140"/>
      <c r="E1791" s="11" t="s">
        <v>102</v>
      </c>
      <c r="F1791" s="12">
        <v>4</v>
      </c>
      <c r="G1791" s="12">
        <v>10.220000000000001</v>
      </c>
      <c r="H1791" s="12">
        <v>13.03</v>
      </c>
      <c r="I1791" s="13">
        <f t="shared" si="154"/>
        <v>40.880000000000003</v>
      </c>
      <c r="J1791" s="13">
        <f t="shared" si="155"/>
        <v>52.12</v>
      </c>
    </row>
    <row r="1792" spans="1:10" s="1" customFormat="1" ht="25.5" customHeight="1" x14ac:dyDescent="0.2">
      <c r="A1792" s="11" t="s">
        <v>397</v>
      </c>
      <c r="B1792" s="11" t="s">
        <v>398</v>
      </c>
      <c r="C1792" s="139" t="s">
        <v>399</v>
      </c>
      <c r="D1792" s="140"/>
      <c r="E1792" s="11" t="s">
        <v>102</v>
      </c>
      <c r="F1792" s="12">
        <v>2</v>
      </c>
      <c r="G1792" s="12">
        <v>10.91</v>
      </c>
      <c r="H1792" s="12">
        <v>13.92</v>
      </c>
      <c r="I1792" s="13">
        <f t="shared" si="154"/>
        <v>21.82</v>
      </c>
      <c r="J1792" s="13">
        <f t="shared" si="155"/>
        <v>27.84</v>
      </c>
    </row>
    <row r="1793" spans="1:10" s="1" customFormat="1" ht="25.5" customHeight="1" x14ac:dyDescent="0.2">
      <c r="A1793" s="11" t="s">
        <v>400</v>
      </c>
      <c r="B1793" s="11" t="s">
        <v>401</v>
      </c>
      <c r="C1793" s="139" t="s">
        <v>402</v>
      </c>
      <c r="D1793" s="140"/>
      <c r="E1793" s="11" t="s">
        <v>102</v>
      </c>
      <c r="F1793" s="12">
        <v>5</v>
      </c>
      <c r="G1793" s="12">
        <v>13.18</v>
      </c>
      <c r="H1793" s="12">
        <v>16.809999999999999</v>
      </c>
      <c r="I1793" s="13">
        <f t="shared" si="154"/>
        <v>65.900000000000006</v>
      </c>
      <c r="J1793" s="13">
        <f t="shared" si="155"/>
        <v>84.05</v>
      </c>
    </row>
    <row r="1794" spans="1:10" s="1" customFormat="1" ht="25.5" customHeight="1" x14ac:dyDescent="0.2">
      <c r="A1794" s="11" t="s">
        <v>403</v>
      </c>
      <c r="B1794" s="11" t="s">
        <v>404</v>
      </c>
      <c r="C1794" s="139" t="s">
        <v>405</v>
      </c>
      <c r="D1794" s="140"/>
      <c r="E1794" s="11" t="s">
        <v>102</v>
      </c>
      <c r="F1794" s="12">
        <v>11</v>
      </c>
      <c r="G1794" s="12">
        <v>12.73</v>
      </c>
      <c r="H1794" s="12">
        <v>16.239999999999998</v>
      </c>
      <c r="I1794" s="13">
        <f t="shared" si="154"/>
        <v>140.03</v>
      </c>
      <c r="J1794" s="13">
        <f t="shared" si="155"/>
        <v>178.64</v>
      </c>
    </row>
    <row r="1795" spans="1:10" s="1" customFormat="1" ht="25.5" customHeight="1" x14ac:dyDescent="0.2">
      <c r="A1795" s="11" t="s">
        <v>406</v>
      </c>
      <c r="B1795" s="11" t="s">
        <v>407</v>
      </c>
      <c r="C1795" s="139" t="s">
        <v>408</v>
      </c>
      <c r="D1795" s="140"/>
      <c r="E1795" s="11" t="s">
        <v>102</v>
      </c>
      <c r="F1795" s="12">
        <v>12</v>
      </c>
      <c r="G1795" s="12">
        <v>8.5299999999999994</v>
      </c>
      <c r="H1795" s="12">
        <v>10.89</v>
      </c>
      <c r="I1795" s="13">
        <f t="shared" si="154"/>
        <v>102.35999999999999</v>
      </c>
      <c r="J1795" s="13">
        <f t="shared" si="155"/>
        <v>130.68</v>
      </c>
    </row>
    <row r="1796" spans="1:10" s="1" customFormat="1" ht="25.5" customHeight="1" x14ac:dyDescent="0.2">
      <c r="A1796" s="11" t="s">
        <v>409</v>
      </c>
      <c r="B1796" s="11" t="s">
        <v>410</v>
      </c>
      <c r="C1796" s="139" t="s">
        <v>411</v>
      </c>
      <c r="D1796" s="140"/>
      <c r="E1796" s="11" t="s">
        <v>102</v>
      </c>
      <c r="F1796" s="12">
        <v>6</v>
      </c>
      <c r="G1796" s="12">
        <v>22.59</v>
      </c>
      <c r="H1796" s="12">
        <v>28.82</v>
      </c>
      <c r="I1796" s="13">
        <f t="shared" si="154"/>
        <v>135.54</v>
      </c>
      <c r="J1796" s="13">
        <f t="shared" si="155"/>
        <v>172.92000000000002</v>
      </c>
    </row>
    <row r="1797" spans="1:10" s="1" customFormat="1" ht="25.5" customHeight="1" x14ac:dyDescent="0.2">
      <c r="A1797" s="8"/>
      <c r="B1797" s="23">
        <v>41643</v>
      </c>
      <c r="C1797" s="137" t="s">
        <v>412</v>
      </c>
      <c r="D1797" s="138"/>
      <c r="E1797" s="8"/>
      <c r="F1797" s="8"/>
      <c r="G1797" s="8"/>
      <c r="H1797" s="8"/>
      <c r="I1797" s="8"/>
      <c r="J1797" s="8"/>
    </row>
    <row r="1798" spans="1:10" s="1" customFormat="1" ht="25.5" customHeight="1" x14ac:dyDescent="0.2">
      <c r="A1798" s="10">
        <v>89408</v>
      </c>
      <c r="B1798" s="11" t="s">
        <v>413</v>
      </c>
      <c r="C1798" s="139" t="s">
        <v>414</v>
      </c>
      <c r="D1798" s="140"/>
      <c r="E1798" s="11" t="s">
        <v>102</v>
      </c>
      <c r="F1798" s="12">
        <v>91</v>
      </c>
      <c r="G1798" s="12">
        <v>4.09</v>
      </c>
      <c r="H1798" s="12">
        <v>5.21</v>
      </c>
      <c r="I1798" s="13">
        <f t="shared" ref="I1798:I1808" si="156">F1798*G1798</f>
        <v>372.19</v>
      </c>
      <c r="J1798" s="13">
        <f t="shared" ref="J1798:J1808" si="157">F1798*H1798</f>
        <v>474.11</v>
      </c>
    </row>
    <row r="1799" spans="1:10" s="1" customFormat="1" ht="25.5" customHeight="1" x14ac:dyDescent="0.2">
      <c r="A1799" s="10">
        <v>89413</v>
      </c>
      <c r="B1799" s="11" t="s">
        <v>415</v>
      </c>
      <c r="C1799" s="139" t="s">
        <v>416</v>
      </c>
      <c r="D1799" s="140"/>
      <c r="E1799" s="11" t="s">
        <v>102</v>
      </c>
      <c r="F1799" s="12">
        <v>28</v>
      </c>
      <c r="G1799" s="12">
        <v>5.71</v>
      </c>
      <c r="H1799" s="12">
        <v>7.28</v>
      </c>
      <c r="I1799" s="13">
        <f t="shared" si="156"/>
        <v>159.88</v>
      </c>
      <c r="J1799" s="13">
        <f t="shared" si="157"/>
        <v>203.84</v>
      </c>
    </row>
    <row r="1800" spans="1:10" s="1" customFormat="1" ht="25.5" customHeight="1" x14ac:dyDescent="0.2">
      <c r="A1800" s="10">
        <v>89501</v>
      </c>
      <c r="B1800" s="11" t="s">
        <v>417</v>
      </c>
      <c r="C1800" s="139" t="s">
        <v>418</v>
      </c>
      <c r="D1800" s="140"/>
      <c r="E1800" s="11" t="s">
        <v>102</v>
      </c>
      <c r="F1800" s="12">
        <v>20</v>
      </c>
      <c r="G1800" s="12">
        <v>8.99</v>
      </c>
      <c r="H1800" s="12">
        <v>11.47</v>
      </c>
      <c r="I1800" s="13">
        <f t="shared" si="156"/>
        <v>179.8</v>
      </c>
      <c r="J1800" s="13">
        <f t="shared" si="157"/>
        <v>229.4</v>
      </c>
    </row>
    <row r="1801" spans="1:10" s="1" customFormat="1" ht="25.5" customHeight="1" x14ac:dyDescent="0.2">
      <c r="A1801" s="10">
        <v>89505</v>
      </c>
      <c r="B1801" s="11" t="s">
        <v>419</v>
      </c>
      <c r="C1801" s="139" t="s">
        <v>420</v>
      </c>
      <c r="D1801" s="140"/>
      <c r="E1801" s="11" t="s">
        <v>102</v>
      </c>
      <c r="F1801" s="12">
        <v>10</v>
      </c>
      <c r="G1801" s="12">
        <v>23.78</v>
      </c>
      <c r="H1801" s="12">
        <v>30.34</v>
      </c>
      <c r="I1801" s="13">
        <f t="shared" si="156"/>
        <v>237.8</v>
      </c>
      <c r="J1801" s="13">
        <f t="shared" si="157"/>
        <v>303.39999999999998</v>
      </c>
    </row>
    <row r="1802" spans="1:10" s="1" customFormat="1" ht="25.5" customHeight="1" x14ac:dyDescent="0.2">
      <c r="A1802" s="10">
        <v>89521</v>
      </c>
      <c r="B1802" s="11" t="s">
        <v>421</v>
      </c>
      <c r="C1802" s="139" t="s">
        <v>422</v>
      </c>
      <c r="D1802" s="140"/>
      <c r="E1802" s="11" t="s">
        <v>102</v>
      </c>
      <c r="F1802" s="12">
        <v>4</v>
      </c>
      <c r="G1802" s="12">
        <v>72.209999999999994</v>
      </c>
      <c r="H1802" s="12">
        <v>92.13</v>
      </c>
      <c r="I1802" s="13">
        <f t="shared" si="156"/>
        <v>288.83999999999997</v>
      </c>
      <c r="J1802" s="13">
        <f t="shared" si="157"/>
        <v>368.52</v>
      </c>
    </row>
    <row r="1803" spans="1:10" s="1" customFormat="1" ht="25.5" customHeight="1" x14ac:dyDescent="0.2">
      <c r="A1803" s="10">
        <v>89409</v>
      </c>
      <c r="B1803" s="11" t="s">
        <v>423</v>
      </c>
      <c r="C1803" s="139" t="s">
        <v>424</v>
      </c>
      <c r="D1803" s="140"/>
      <c r="E1803" s="11" t="s">
        <v>102</v>
      </c>
      <c r="F1803" s="12">
        <v>5</v>
      </c>
      <c r="G1803" s="12">
        <v>4.51</v>
      </c>
      <c r="H1803" s="12">
        <v>5.75</v>
      </c>
      <c r="I1803" s="13">
        <f t="shared" si="156"/>
        <v>22.549999999999997</v>
      </c>
      <c r="J1803" s="13">
        <f t="shared" si="157"/>
        <v>28.75</v>
      </c>
    </row>
    <row r="1804" spans="1:10" s="1" customFormat="1" ht="25.5" customHeight="1" x14ac:dyDescent="0.2">
      <c r="A1804" s="10">
        <v>89414</v>
      </c>
      <c r="B1804" s="11" t="s">
        <v>425</v>
      </c>
      <c r="C1804" s="139" t="s">
        <v>426</v>
      </c>
      <c r="D1804" s="140"/>
      <c r="E1804" s="11" t="s">
        <v>102</v>
      </c>
      <c r="F1804" s="12">
        <v>3</v>
      </c>
      <c r="G1804" s="12">
        <v>6.88</v>
      </c>
      <c r="H1804" s="12">
        <v>8.77</v>
      </c>
      <c r="I1804" s="13">
        <f t="shared" si="156"/>
        <v>20.64</v>
      </c>
      <c r="J1804" s="13">
        <f t="shared" si="157"/>
        <v>26.31</v>
      </c>
    </row>
    <row r="1805" spans="1:10" s="1" customFormat="1" ht="25.5" customHeight="1" x14ac:dyDescent="0.2">
      <c r="A1805" s="10">
        <v>89502</v>
      </c>
      <c r="B1805" s="11" t="s">
        <v>427</v>
      </c>
      <c r="C1805" s="139" t="s">
        <v>428</v>
      </c>
      <c r="D1805" s="140"/>
      <c r="E1805" s="11" t="s">
        <v>102</v>
      </c>
      <c r="F1805" s="12">
        <v>2</v>
      </c>
      <c r="G1805" s="12">
        <v>9.86</v>
      </c>
      <c r="H1805" s="12">
        <v>12.57</v>
      </c>
      <c r="I1805" s="13">
        <f t="shared" si="156"/>
        <v>19.72</v>
      </c>
      <c r="J1805" s="13">
        <f t="shared" si="157"/>
        <v>25.14</v>
      </c>
    </row>
    <row r="1806" spans="1:10" s="1" customFormat="1" ht="25.5" customHeight="1" x14ac:dyDescent="0.2">
      <c r="A1806" s="10">
        <v>89366</v>
      </c>
      <c r="B1806" s="11" t="s">
        <v>429</v>
      </c>
      <c r="C1806" s="139" t="s">
        <v>430</v>
      </c>
      <c r="D1806" s="140"/>
      <c r="E1806" s="11" t="s">
        <v>102</v>
      </c>
      <c r="F1806" s="12">
        <v>12</v>
      </c>
      <c r="G1806" s="12">
        <v>10.4</v>
      </c>
      <c r="H1806" s="12">
        <v>13.26</v>
      </c>
      <c r="I1806" s="13">
        <f t="shared" si="156"/>
        <v>124.80000000000001</v>
      </c>
      <c r="J1806" s="13">
        <f t="shared" si="157"/>
        <v>159.12</v>
      </c>
    </row>
    <row r="1807" spans="1:10" s="1" customFormat="1" ht="25.5" customHeight="1" x14ac:dyDescent="0.2">
      <c r="A1807" s="10">
        <v>90373</v>
      </c>
      <c r="B1807" s="11" t="s">
        <v>431</v>
      </c>
      <c r="C1807" s="139" t="s">
        <v>432</v>
      </c>
      <c r="D1807" s="140"/>
      <c r="E1807" s="11" t="s">
        <v>102</v>
      </c>
      <c r="F1807" s="12">
        <v>64</v>
      </c>
      <c r="G1807" s="12">
        <v>9.6</v>
      </c>
      <c r="H1807" s="12">
        <v>12.25</v>
      </c>
      <c r="I1807" s="13">
        <f t="shared" si="156"/>
        <v>614.4</v>
      </c>
      <c r="J1807" s="13">
        <f t="shared" si="157"/>
        <v>784</v>
      </c>
    </row>
    <row r="1808" spans="1:10" s="1" customFormat="1" ht="25.5" customHeight="1" x14ac:dyDescent="0.2">
      <c r="A1808" s="11" t="s">
        <v>433</v>
      </c>
      <c r="B1808" s="11" t="s">
        <v>434</v>
      </c>
      <c r="C1808" s="139" t="s">
        <v>435</v>
      </c>
      <c r="D1808" s="140"/>
      <c r="E1808" s="11" t="s">
        <v>102</v>
      </c>
      <c r="F1808" s="12">
        <v>13</v>
      </c>
      <c r="G1808" s="12">
        <v>7.38</v>
      </c>
      <c r="H1808" s="12">
        <v>9.42</v>
      </c>
      <c r="I1808" s="13">
        <f t="shared" si="156"/>
        <v>95.94</v>
      </c>
      <c r="J1808" s="13">
        <f t="shared" si="157"/>
        <v>122.46</v>
      </c>
    </row>
    <row r="1809" spans="1:10" s="1" customFormat="1" ht="25.5" customHeight="1" x14ac:dyDescent="0.2">
      <c r="A1809" s="8"/>
      <c r="B1809" s="23">
        <v>41644</v>
      </c>
      <c r="C1809" s="137" t="s">
        <v>436</v>
      </c>
      <c r="D1809" s="138"/>
      <c r="E1809" s="8"/>
      <c r="F1809" s="8"/>
      <c r="G1809" s="8"/>
      <c r="H1809" s="8"/>
      <c r="I1809" s="8"/>
      <c r="J1809" s="8"/>
    </row>
    <row r="1810" spans="1:10" s="1" customFormat="1" ht="25.5" customHeight="1" x14ac:dyDescent="0.2">
      <c r="A1810" s="10">
        <v>89424</v>
      </c>
      <c r="B1810" s="11" t="s">
        <v>437</v>
      </c>
      <c r="C1810" s="139" t="s">
        <v>438</v>
      </c>
      <c r="D1810" s="140"/>
      <c r="E1810" s="11" t="s">
        <v>102</v>
      </c>
      <c r="F1810" s="12">
        <v>12</v>
      </c>
      <c r="G1810" s="12">
        <v>3.06</v>
      </c>
      <c r="H1810" s="12">
        <v>3.9</v>
      </c>
      <c r="I1810" s="13">
        <f t="shared" ref="I1810:I1815" si="158">F1810*G1810</f>
        <v>36.72</v>
      </c>
      <c r="J1810" s="13">
        <f t="shared" ref="J1810:J1815" si="159">F1810*H1810</f>
        <v>46.8</v>
      </c>
    </row>
    <row r="1811" spans="1:10" s="1" customFormat="1" ht="25.5" customHeight="1" x14ac:dyDescent="0.2">
      <c r="A1811" s="10">
        <v>89431</v>
      </c>
      <c r="B1811" s="11" t="s">
        <v>439</v>
      </c>
      <c r="C1811" s="139" t="s">
        <v>440</v>
      </c>
      <c r="D1811" s="140"/>
      <c r="E1811" s="11" t="s">
        <v>102</v>
      </c>
      <c r="F1811" s="12">
        <v>12</v>
      </c>
      <c r="G1811" s="12">
        <v>4.18</v>
      </c>
      <c r="H1811" s="12">
        <v>5.33</v>
      </c>
      <c r="I1811" s="13">
        <f t="shared" si="158"/>
        <v>50.16</v>
      </c>
      <c r="J1811" s="13">
        <f t="shared" si="159"/>
        <v>63.96</v>
      </c>
    </row>
    <row r="1812" spans="1:10" s="1" customFormat="1" ht="25.5" customHeight="1" x14ac:dyDescent="0.2">
      <c r="A1812" s="10">
        <v>89575</v>
      </c>
      <c r="B1812" s="11" t="s">
        <v>441</v>
      </c>
      <c r="C1812" s="139" t="s">
        <v>442</v>
      </c>
      <c r="D1812" s="140"/>
      <c r="E1812" s="11" t="s">
        <v>102</v>
      </c>
      <c r="F1812" s="12">
        <v>7</v>
      </c>
      <c r="G1812" s="12">
        <v>6.7</v>
      </c>
      <c r="H1812" s="12">
        <v>8.5399999999999991</v>
      </c>
      <c r="I1812" s="13">
        <f t="shared" si="158"/>
        <v>46.9</v>
      </c>
      <c r="J1812" s="13">
        <f t="shared" si="159"/>
        <v>59.779999999999994</v>
      </c>
    </row>
    <row r="1813" spans="1:10" s="1" customFormat="1" ht="25.5" customHeight="1" x14ac:dyDescent="0.2">
      <c r="A1813" s="10">
        <v>89597</v>
      </c>
      <c r="B1813" s="11" t="s">
        <v>443</v>
      </c>
      <c r="C1813" s="139" t="s">
        <v>444</v>
      </c>
      <c r="D1813" s="140"/>
      <c r="E1813" s="11" t="s">
        <v>102</v>
      </c>
      <c r="F1813" s="12">
        <v>3</v>
      </c>
      <c r="G1813" s="12">
        <v>12.3</v>
      </c>
      <c r="H1813" s="12">
        <v>15.7</v>
      </c>
      <c r="I1813" s="13">
        <f t="shared" si="158"/>
        <v>36.900000000000006</v>
      </c>
      <c r="J1813" s="13">
        <f t="shared" si="159"/>
        <v>47.099999999999994</v>
      </c>
    </row>
    <row r="1814" spans="1:10" s="1" customFormat="1" ht="25.5" customHeight="1" x14ac:dyDescent="0.2">
      <c r="A1814" s="10">
        <v>89614</v>
      </c>
      <c r="B1814" s="11" t="s">
        <v>445</v>
      </c>
      <c r="C1814" s="139" t="s">
        <v>446</v>
      </c>
      <c r="D1814" s="140"/>
      <c r="E1814" s="11" t="s">
        <v>102</v>
      </c>
      <c r="F1814" s="12">
        <v>7</v>
      </c>
      <c r="G1814" s="12">
        <v>33.06</v>
      </c>
      <c r="H1814" s="12">
        <v>42.18</v>
      </c>
      <c r="I1814" s="13">
        <f t="shared" si="158"/>
        <v>231.42000000000002</v>
      </c>
      <c r="J1814" s="13">
        <f t="shared" si="159"/>
        <v>295.26</v>
      </c>
    </row>
    <row r="1815" spans="1:10" s="1" customFormat="1" ht="25.5" customHeight="1" x14ac:dyDescent="0.2">
      <c r="A1815" s="11" t="s">
        <v>447</v>
      </c>
      <c r="B1815" s="11" t="s">
        <v>448</v>
      </c>
      <c r="C1815" s="139" t="s">
        <v>449</v>
      </c>
      <c r="D1815" s="140"/>
      <c r="E1815" s="11" t="s">
        <v>102</v>
      </c>
      <c r="F1815" s="12">
        <v>8</v>
      </c>
      <c r="G1815" s="12">
        <v>4.53</v>
      </c>
      <c r="H1815" s="12">
        <v>5.78</v>
      </c>
      <c r="I1815" s="13">
        <f t="shared" si="158"/>
        <v>36.24</v>
      </c>
      <c r="J1815" s="13">
        <f t="shared" si="159"/>
        <v>46.24</v>
      </c>
    </row>
    <row r="1816" spans="1:10" s="1" customFormat="1" ht="25.5" customHeight="1" x14ac:dyDescent="0.2">
      <c r="A1816" s="8"/>
      <c r="B1816" s="23">
        <v>41645</v>
      </c>
      <c r="C1816" s="137" t="s">
        <v>450</v>
      </c>
      <c r="D1816" s="138"/>
      <c r="E1816" s="8"/>
      <c r="F1816" s="8"/>
      <c r="G1816" s="8"/>
      <c r="H1816" s="8"/>
      <c r="I1816" s="8"/>
      <c r="J1816" s="8"/>
    </row>
    <row r="1817" spans="1:10" s="1" customFormat="1" ht="25.5" customHeight="1" x14ac:dyDescent="0.2">
      <c r="A1817" s="10">
        <v>89440</v>
      </c>
      <c r="B1817" s="11" t="s">
        <v>451</v>
      </c>
      <c r="C1817" s="139" t="s">
        <v>452</v>
      </c>
      <c r="D1817" s="140"/>
      <c r="E1817" s="11" t="s">
        <v>102</v>
      </c>
      <c r="F1817" s="12">
        <v>17</v>
      </c>
      <c r="G1817" s="12">
        <v>5.76</v>
      </c>
      <c r="H1817" s="12">
        <v>7.35</v>
      </c>
      <c r="I1817" s="13">
        <f t="shared" ref="I1817:I1827" si="160">F1817*G1817</f>
        <v>97.92</v>
      </c>
      <c r="J1817" s="13">
        <f t="shared" ref="J1817:J1827" si="161">F1817*H1817</f>
        <v>124.94999999999999</v>
      </c>
    </row>
    <row r="1818" spans="1:10" s="1" customFormat="1" ht="25.5" customHeight="1" x14ac:dyDescent="0.2">
      <c r="A1818" s="10">
        <v>89443</v>
      </c>
      <c r="B1818" s="11" t="s">
        <v>453</v>
      </c>
      <c r="C1818" s="139" t="s">
        <v>454</v>
      </c>
      <c r="D1818" s="140"/>
      <c r="E1818" s="11" t="s">
        <v>102</v>
      </c>
      <c r="F1818" s="12">
        <v>13</v>
      </c>
      <c r="G1818" s="12">
        <v>8.1999999999999993</v>
      </c>
      <c r="H1818" s="12">
        <v>10.46</v>
      </c>
      <c r="I1818" s="13">
        <f t="shared" si="160"/>
        <v>106.6</v>
      </c>
      <c r="J1818" s="13">
        <f t="shared" si="161"/>
        <v>135.98000000000002</v>
      </c>
    </row>
    <row r="1819" spans="1:10" s="1" customFormat="1" ht="25.5" customHeight="1" x14ac:dyDescent="0.2">
      <c r="A1819" s="10">
        <v>89625</v>
      </c>
      <c r="B1819" s="11" t="s">
        <v>455</v>
      </c>
      <c r="C1819" s="139" t="s">
        <v>456</v>
      </c>
      <c r="D1819" s="140"/>
      <c r="E1819" s="11" t="s">
        <v>102</v>
      </c>
      <c r="F1819" s="12">
        <v>17</v>
      </c>
      <c r="G1819" s="12">
        <v>13.75</v>
      </c>
      <c r="H1819" s="12">
        <v>17.55</v>
      </c>
      <c r="I1819" s="13">
        <f t="shared" si="160"/>
        <v>233.75</v>
      </c>
      <c r="J1819" s="13">
        <f t="shared" si="161"/>
        <v>298.35000000000002</v>
      </c>
    </row>
    <row r="1820" spans="1:10" s="1" customFormat="1" ht="25.5" customHeight="1" x14ac:dyDescent="0.2">
      <c r="A1820" s="10">
        <v>89628</v>
      </c>
      <c r="B1820" s="11" t="s">
        <v>457</v>
      </c>
      <c r="C1820" s="139" t="s">
        <v>458</v>
      </c>
      <c r="D1820" s="140"/>
      <c r="E1820" s="11" t="s">
        <v>102</v>
      </c>
      <c r="F1820" s="12">
        <v>8</v>
      </c>
      <c r="G1820" s="12">
        <v>27.72</v>
      </c>
      <c r="H1820" s="12">
        <v>35.369999999999997</v>
      </c>
      <c r="I1820" s="13">
        <f t="shared" si="160"/>
        <v>221.76</v>
      </c>
      <c r="J1820" s="13">
        <f t="shared" si="161"/>
        <v>282.95999999999998</v>
      </c>
    </row>
    <row r="1821" spans="1:10" s="1" customFormat="1" ht="25.5" customHeight="1" x14ac:dyDescent="0.2">
      <c r="A1821" s="10">
        <v>89631</v>
      </c>
      <c r="B1821" s="11" t="s">
        <v>459</v>
      </c>
      <c r="C1821" s="139" t="s">
        <v>460</v>
      </c>
      <c r="D1821" s="140"/>
      <c r="E1821" s="11" t="s">
        <v>102</v>
      </c>
      <c r="F1821" s="12">
        <v>6</v>
      </c>
      <c r="G1821" s="12">
        <v>71.03</v>
      </c>
      <c r="H1821" s="12">
        <v>90.62</v>
      </c>
      <c r="I1821" s="13">
        <f t="shared" si="160"/>
        <v>426.18</v>
      </c>
      <c r="J1821" s="13">
        <f t="shared" si="161"/>
        <v>543.72</v>
      </c>
    </row>
    <row r="1822" spans="1:10" s="1" customFormat="1" ht="25.5" customHeight="1" x14ac:dyDescent="0.2">
      <c r="A1822" s="11" t="s">
        <v>78</v>
      </c>
      <c r="B1822" s="11" t="s">
        <v>461</v>
      </c>
      <c r="C1822" s="139" t="s">
        <v>462</v>
      </c>
      <c r="D1822" s="140"/>
      <c r="E1822" s="11" t="s">
        <v>102</v>
      </c>
      <c r="F1822" s="12">
        <v>13</v>
      </c>
      <c r="G1822" s="12">
        <v>12.99</v>
      </c>
      <c r="H1822" s="12">
        <v>16.57</v>
      </c>
      <c r="I1822" s="13">
        <f t="shared" si="160"/>
        <v>168.87</v>
      </c>
      <c r="J1822" s="13">
        <f t="shared" si="161"/>
        <v>215.41</v>
      </c>
    </row>
    <row r="1823" spans="1:10" s="1" customFormat="1" ht="25.5" customHeight="1" x14ac:dyDescent="0.2">
      <c r="A1823" s="11" t="s">
        <v>78</v>
      </c>
      <c r="B1823" s="11" t="s">
        <v>463</v>
      </c>
      <c r="C1823" s="139" t="s">
        <v>464</v>
      </c>
      <c r="D1823" s="140"/>
      <c r="E1823" s="11" t="s">
        <v>102</v>
      </c>
      <c r="F1823" s="12">
        <v>4</v>
      </c>
      <c r="G1823" s="12">
        <v>14.25</v>
      </c>
      <c r="H1823" s="12">
        <v>18.18</v>
      </c>
      <c r="I1823" s="13">
        <f t="shared" si="160"/>
        <v>57</v>
      </c>
      <c r="J1823" s="13">
        <f t="shared" si="161"/>
        <v>72.72</v>
      </c>
    </row>
    <row r="1824" spans="1:10" s="1" customFormat="1" ht="25.5" customHeight="1" x14ac:dyDescent="0.2">
      <c r="A1824" s="10">
        <v>89400</v>
      </c>
      <c r="B1824" s="11" t="s">
        <v>465</v>
      </c>
      <c r="C1824" s="139" t="s">
        <v>466</v>
      </c>
      <c r="D1824" s="140"/>
      <c r="E1824" s="11" t="s">
        <v>102</v>
      </c>
      <c r="F1824" s="12">
        <v>26</v>
      </c>
      <c r="G1824" s="12">
        <v>13.19</v>
      </c>
      <c r="H1824" s="12">
        <v>16.829999999999998</v>
      </c>
      <c r="I1824" s="13">
        <f t="shared" si="160"/>
        <v>342.94</v>
      </c>
      <c r="J1824" s="13">
        <f t="shared" si="161"/>
        <v>437.57999999999993</v>
      </c>
    </row>
    <row r="1825" spans="1:10" s="1" customFormat="1" ht="25.5" customHeight="1" x14ac:dyDescent="0.2">
      <c r="A1825" s="10">
        <v>89627</v>
      </c>
      <c r="B1825" s="11" t="s">
        <v>467</v>
      </c>
      <c r="C1825" s="139" t="s">
        <v>468</v>
      </c>
      <c r="D1825" s="140"/>
      <c r="E1825" s="11" t="s">
        <v>102</v>
      </c>
      <c r="F1825" s="12">
        <v>3</v>
      </c>
      <c r="G1825" s="12">
        <v>13.53</v>
      </c>
      <c r="H1825" s="12">
        <v>17.260000000000002</v>
      </c>
      <c r="I1825" s="13">
        <f t="shared" si="160"/>
        <v>40.589999999999996</v>
      </c>
      <c r="J1825" s="13">
        <f t="shared" si="161"/>
        <v>51.78</v>
      </c>
    </row>
    <row r="1826" spans="1:10" s="1" customFormat="1" ht="25.5" customHeight="1" x14ac:dyDescent="0.2">
      <c r="A1826" s="11" t="s">
        <v>78</v>
      </c>
      <c r="B1826" s="11" t="s">
        <v>469</v>
      </c>
      <c r="C1826" s="139" t="s">
        <v>470</v>
      </c>
      <c r="D1826" s="140"/>
      <c r="E1826" s="11" t="s">
        <v>102</v>
      </c>
      <c r="F1826" s="12">
        <v>2</v>
      </c>
      <c r="G1826" s="12">
        <v>26.32</v>
      </c>
      <c r="H1826" s="12">
        <v>33.58</v>
      </c>
      <c r="I1826" s="13">
        <f t="shared" si="160"/>
        <v>52.64</v>
      </c>
      <c r="J1826" s="13">
        <f t="shared" si="161"/>
        <v>67.16</v>
      </c>
    </row>
    <row r="1827" spans="1:10" s="1" customFormat="1" ht="25.5" customHeight="1" x14ac:dyDescent="0.2">
      <c r="A1827" s="10">
        <v>89632</v>
      </c>
      <c r="B1827" s="11" t="s">
        <v>471</v>
      </c>
      <c r="C1827" s="139" t="s">
        <v>472</v>
      </c>
      <c r="D1827" s="140"/>
      <c r="E1827" s="11" t="s">
        <v>102</v>
      </c>
      <c r="F1827" s="12">
        <v>14</v>
      </c>
      <c r="G1827" s="12">
        <v>61.2</v>
      </c>
      <c r="H1827" s="12">
        <v>78.09</v>
      </c>
      <c r="I1827" s="13">
        <f t="shared" si="160"/>
        <v>856.80000000000007</v>
      </c>
      <c r="J1827" s="13">
        <f t="shared" si="161"/>
        <v>1093.26</v>
      </c>
    </row>
    <row r="1828" spans="1:10" s="1" customFormat="1" ht="25.5" customHeight="1" x14ac:dyDescent="0.2">
      <c r="A1828" s="8"/>
      <c r="B1828" s="23">
        <v>41646</v>
      </c>
      <c r="C1828" s="137" t="s">
        <v>473</v>
      </c>
      <c r="D1828" s="138"/>
      <c r="E1828" s="8"/>
      <c r="F1828" s="8"/>
      <c r="G1828" s="8"/>
      <c r="H1828" s="8"/>
      <c r="I1828" s="8"/>
      <c r="J1828" s="8"/>
    </row>
    <row r="1829" spans="1:10" s="1" customFormat="1" ht="25.5" customHeight="1" x14ac:dyDescent="0.2">
      <c r="A1829" s="10">
        <v>89382</v>
      </c>
      <c r="B1829" s="11" t="s">
        <v>474</v>
      </c>
      <c r="C1829" s="139" t="s">
        <v>475</v>
      </c>
      <c r="D1829" s="140"/>
      <c r="E1829" s="11" t="s">
        <v>102</v>
      </c>
      <c r="F1829" s="12">
        <v>2</v>
      </c>
      <c r="G1829" s="12">
        <v>8.39</v>
      </c>
      <c r="H1829" s="12">
        <v>10.7</v>
      </c>
      <c r="I1829" s="13">
        <f>F1829*G1829</f>
        <v>16.78</v>
      </c>
      <c r="J1829" s="13">
        <f>F1829*H1829</f>
        <v>21.4</v>
      </c>
    </row>
    <row r="1830" spans="1:10" s="1" customFormat="1" ht="25.5" customHeight="1" x14ac:dyDescent="0.2">
      <c r="A1830" s="10">
        <v>89390</v>
      </c>
      <c r="B1830" s="11" t="s">
        <v>476</v>
      </c>
      <c r="C1830" s="139" t="s">
        <v>477</v>
      </c>
      <c r="D1830" s="140"/>
      <c r="E1830" s="11" t="s">
        <v>102</v>
      </c>
      <c r="F1830" s="12">
        <v>2</v>
      </c>
      <c r="G1830" s="12">
        <v>12.33</v>
      </c>
      <c r="H1830" s="12">
        <v>15.73</v>
      </c>
      <c r="I1830" s="13">
        <f>F1830*G1830</f>
        <v>24.66</v>
      </c>
      <c r="J1830" s="13">
        <f>F1830*H1830</f>
        <v>31.46</v>
      </c>
    </row>
    <row r="1831" spans="1:10" s="1" customFormat="1" ht="25.5" customHeight="1" x14ac:dyDescent="0.2">
      <c r="A1831" s="10">
        <v>89594</v>
      </c>
      <c r="B1831" s="11" t="s">
        <v>478</v>
      </c>
      <c r="C1831" s="139" t="s">
        <v>479</v>
      </c>
      <c r="D1831" s="140"/>
      <c r="E1831" s="11" t="s">
        <v>102</v>
      </c>
      <c r="F1831" s="12">
        <v>4</v>
      </c>
      <c r="G1831" s="12">
        <v>21.53</v>
      </c>
      <c r="H1831" s="12">
        <v>27.47</v>
      </c>
      <c r="I1831" s="13">
        <f>F1831*G1831</f>
        <v>86.12</v>
      </c>
      <c r="J1831" s="13">
        <f>F1831*H1831</f>
        <v>109.88</v>
      </c>
    </row>
    <row r="1832" spans="1:10" s="1" customFormat="1" ht="25.5" customHeight="1" x14ac:dyDescent="0.2">
      <c r="A1832" s="10">
        <v>89615</v>
      </c>
      <c r="B1832" s="11" t="s">
        <v>480</v>
      </c>
      <c r="C1832" s="139" t="s">
        <v>481</v>
      </c>
      <c r="D1832" s="140"/>
      <c r="E1832" s="11" t="s">
        <v>102</v>
      </c>
      <c r="F1832" s="12">
        <v>2</v>
      </c>
      <c r="G1832" s="12">
        <v>133.13999999999999</v>
      </c>
      <c r="H1832" s="12">
        <v>169.87</v>
      </c>
      <c r="I1832" s="13">
        <f>F1832*G1832</f>
        <v>266.27999999999997</v>
      </c>
      <c r="J1832" s="13">
        <f>F1832*H1832</f>
        <v>339.74</v>
      </c>
    </row>
    <row r="1833" spans="1:10" s="1" customFormat="1" ht="25.5" customHeight="1" x14ac:dyDescent="0.2">
      <c r="A1833" s="8"/>
      <c r="B1833" s="23">
        <v>41647</v>
      </c>
      <c r="C1833" s="137" t="s">
        <v>482</v>
      </c>
      <c r="D1833" s="138"/>
      <c r="E1833" s="8"/>
      <c r="F1833" s="8"/>
      <c r="G1833" s="8"/>
      <c r="H1833" s="8"/>
      <c r="I1833" s="8"/>
      <c r="J1833" s="8"/>
    </row>
    <row r="1834" spans="1:10" s="1" customFormat="1" ht="25.5" customHeight="1" x14ac:dyDescent="0.2">
      <c r="A1834" s="11" t="s">
        <v>483</v>
      </c>
      <c r="B1834" s="11" t="s">
        <v>484</v>
      </c>
      <c r="C1834" s="139" t="s">
        <v>485</v>
      </c>
      <c r="D1834" s="140"/>
      <c r="E1834" s="11" t="s">
        <v>102</v>
      </c>
      <c r="F1834" s="12">
        <v>74</v>
      </c>
      <c r="G1834" s="12">
        <v>1.81</v>
      </c>
      <c r="H1834" s="12">
        <v>2.31</v>
      </c>
      <c r="I1834" s="13">
        <f>F1834*G1834</f>
        <v>133.94</v>
      </c>
      <c r="J1834" s="13">
        <f>F1834*H1834</f>
        <v>170.94</v>
      </c>
    </row>
    <row r="1835" spans="1:10" s="1" customFormat="1" ht="25.5" customHeight="1" x14ac:dyDescent="0.2">
      <c r="A1835" s="11" t="s">
        <v>486</v>
      </c>
      <c r="B1835" s="11" t="s">
        <v>487</v>
      </c>
      <c r="C1835" s="139" t="s">
        <v>488</v>
      </c>
      <c r="D1835" s="140"/>
      <c r="E1835" s="11" t="s">
        <v>102</v>
      </c>
      <c r="F1835" s="12">
        <v>17</v>
      </c>
      <c r="G1835" s="12">
        <v>2.93</v>
      </c>
      <c r="H1835" s="12">
        <v>3.73</v>
      </c>
      <c r="I1835" s="13">
        <f>F1835*G1835</f>
        <v>49.81</v>
      </c>
      <c r="J1835" s="13">
        <f>F1835*H1835</f>
        <v>63.41</v>
      </c>
    </row>
    <row r="1836" spans="1:10" s="1" customFormat="1" ht="25.5" customHeight="1" x14ac:dyDescent="0.2">
      <c r="A1836" s="11" t="s">
        <v>78</v>
      </c>
      <c r="B1836" s="11" t="s">
        <v>489</v>
      </c>
      <c r="C1836" s="139" t="s">
        <v>490</v>
      </c>
      <c r="D1836" s="140"/>
      <c r="E1836" s="11" t="s">
        <v>102</v>
      </c>
      <c r="F1836" s="12">
        <v>23</v>
      </c>
      <c r="G1836" s="12">
        <v>4.1100000000000003</v>
      </c>
      <c r="H1836" s="12">
        <v>5.25</v>
      </c>
      <c r="I1836" s="13">
        <f>F1836*G1836</f>
        <v>94.53</v>
      </c>
      <c r="J1836" s="13">
        <f>F1836*H1836</f>
        <v>120.75</v>
      </c>
    </row>
    <row r="1837" spans="1:10" s="1" customFormat="1" ht="25.5" customHeight="1" x14ac:dyDescent="0.2">
      <c r="A1837" s="8"/>
      <c r="B1837" s="149" t="s">
        <v>491</v>
      </c>
      <c r="C1837" s="150"/>
      <c r="D1837" s="150"/>
      <c r="E1837" s="150"/>
      <c r="F1837" s="150"/>
      <c r="G1837" s="151"/>
      <c r="H1837" s="8"/>
      <c r="I1837" s="14">
        <f>SUM(I1775:I1836)-1.9</f>
        <v>19785.07999999998</v>
      </c>
      <c r="J1837" s="15">
        <f>SUM(J1775:J1836)-0.26</f>
        <v>25243.999999999996</v>
      </c>
    </row>
    <row r="1838" spans="1:10" s="1" customFormat="1" ht="25.5" customHeight="1" x14ac:dyDescent="0.2">
      <c r="A1838" s="8"/>
      <c r="B1838" s="9" t="s">
        <v>492</v>
      </c>
      <c r="C1838" s="137" t="s">
        <v>493</v>
      </c>
      <c r="D1838" s="138"/>
      <c r="E1838" s="8"/>
      <c r="F1838" s="8"/>
      <c r="G1838" s="8"/>
      <c r="H1838" s="8"/>
      <c r="I1838" s="8"/>
      <c r="J1838" s="8"/>
    </row>
    <row r="1839" spans="1:10" s="1" customFormat="1" ht="25.5" customHeight="1" x14ac:dyDescent="0.2">
      <c r="A1839" s="10">
        <v>86902</v>
      </c>
      <c r="B1839" s="11" t="s">
        <v>494</v>
      </c>
      <c r="C1839" s="139" t="s">
        <v>495</v>
      </c>
      <c r="D1839" s="140"/>
      <c r="E1839" s="11" t="s">
        <v>102</v>
      </c>
      <c r="F1839" s="12">
        <v>7</v>
      </c>
      <c r="G1839" s="12">
        <v>179.19</v>
      </c>
      <c r="H1839" s="12">
        <v>228.63</v>
      </c>
      <c r="I1839" s="13">
        <f t="shared" ref="I1839:I1892" si="162">F1839*G1839</f>
        <v>1254.33</v>
      </c>
      <c r="J1839" s="13">
        <f t="shared" ref="J1839:J1892" si="163">F1839*H1839</f>
        <v>1600.4099999999999</v>
      </c>
    </row>
    <row r="1840" spans="1:10" s="1" customFormat="1" ht="25.5" customHeight="1" x14ac:dyDescent="0.2">
      <c r="A1840" s="10">
        <v>86938</v>
      </c>
      <c r="B1840" s="11" t="s">
        <v>496</v>
      </c>
      <c r="C1840" s="139" t="s">
        <v>497</v>
      </c>
      <c r="D1840" s="140"/>
      <c r="E1840" s="11" t="s">
        <v>102</v>
      </c>
      <c r="F1840" s="12">
        <v>2</v>
      </c>
      <c r="G1840" s="12">
        <v>212.03</v>
      </c>
      <c r="H1840" s="12">
        <v>270.52999999999997</v>
      </c>
      <c r="I1840" s="13">
        <f t="shared" si="162"/>
        <v>424.06</v>
      </c>
      <c r="J1840" s="13">
        <f t="shared" si="163"/>
        <v>541.05999999999995</v>
      </c>
    </row>
    <row r="1841" spans="1:10" s="1" customFormat="1" ht="25.5" customHeight="1" x14ac:dyDescent="0.2">
      <c r="A1841" s="10">
        <v>86901</v>
      </c>
      <c r="B1841" s="11" t="s">
        <v>498</v>
      </c>
      <c r="C1841" s="139" t="s">
        <v>499</v>
      </c>
      <c r="D1841" s="140"/>
      <c r="E1841" s="11" t="s">
        <v>102</v>
      </c>
      <c r="F1841" s="12">
        <v>2</v>
      </c>
      <c r="G1841" s="12">
        <v>101.58</v>
      </c>
      <c r="H1841" s="12">
        <v>129.61000000000001</v>
      </c>
      <c r="I1841" s="13">
        <f t="shared" si="162"/>
        <v>203.16</v>
      </c>
      <c r="J1841" s="13">
        <f t="shared" si="163"/>
        <v>259.22000000000003</v>
      </c>
    </row>
    <row r="1842" spans="1:10" s="1" customFormat="1" ht="25.5" customHeight="1" x14ac:dyDescent="0.2">
      <c r="A1842" s="11" t="s">
        <v>78</v>
      </c>
      <c r="B1842" s="11" t="s">
        <v>500</v>
      </c>
      <c r="C1842" s="139" t="s">
        <v>501</v>
      </c>
      <c r="D1842" s="140"/>
      <c r="E1842" s="11" t="s">
        <v>102</v>
      </c>
      <c r="F1842" s="12">
        <v>2</v>
      </c>
      <c r="G1842" s="12">
        <v>412.2</v>
      </c>
      <c r="H1842" s="12">
        <v>525.92999999999995</v>
      </c>
      <c r="I1842" s="13">
        <f t="shared" si="162"/>
        <v>824.4</v>
      </c>
      <c r="J1842" s="13">
        <f t="shared" si="163"/>
        <v>1051.8599999999999</v>
      </c>
    </row>
    <row r="1843" spans="1:10" s="1" customFormat="1" ht="25.5" customHeight="1" x14ac:dyDescent="0.2">
      <c r="A1843" s="10">
        <v>72739</v>
      </c>
      <c r="B1843" s="11" t="s">
        <v>502</v>
      </c>
      <c r="C1843" s="139" t="s">
        <v>503</v>
      </c>
      <c r="D1843" s="140"/>
      <c r="E1843" s="11" t="s">
        <v>102</v>
      </c>
      <c r="F1843" s="12">
        <v>12</v>
      </c>
      <c r="G1843" s="12">
        <v>348.66</v>
      </c>
      <c r="H1843" s="12">
        <v>444.86</v>
      </c>
      <c r="I1843" s="13">
        <f t="shared" si="162"/>
        <v>4183.92</v>
      </c>
      <c r="J1843" s="13">
        <f t="shared" si="163"/>
        <v>5338.32</v>
      </c>
    </row>
    <row r="1844" spans="1:10" s="1" customFormat="1" ht="25.5" customHeight="1" x14ac:dyDescent="0.2">
      <c r="A1844" s="10">
        <v>95469</v>
      </c>
      <c r="B1844" s="11" t="s">
        <v>504</v>
      </c>
      <c r="C1844" s="139" t="s">
        <v>505</v>
      </c>
      <c r="D1844" s="140"/>
      <c r="E1844" s="11" t="s">
        <v>102</v>
      </c>
      <c r="F1844" s="12">
        <v>9</v>
      </c>
      <c r="G1844" s="12">
        <v>153.37</v>
      </c>
      <c r="H1844" s="12">
        <v>195.68</v>
      </c>
      <c r="I1844" s="13">
        <f t="shared" si="162"/>
        <v>1380.33</v>
      </c>
      <c r="J1844" s="13">
        <f t="shared" si="163"/>
        <v>1761.1200000000001</v>
      </c>
    </row>
    <row r="1845" spans="1:10" s="1" customFormat="1" ht="25.5" customHeight="1" x14ac:dyDescent="0.2">
      <c r="A1845" s="11" t="s">
        <v>78</v>
      </c>
      <c r="B1845" s="11" t="s">
        <v>506</v>
      </c>
      <c r="C1845" s="139" t="s">
        <v>507</v>
      </c>
      <c r="D1845" s="140"/>
      <c r="E1845" s="11" t="s">
        <v>102</v>
      </c>
      <c r="F1845" s="12">
        <v>2</v>
      </c>
      <c r="G1845" s="12">
        <v>62.01</v>
      </c>
      <c r="H1845" s="12">
        <v>79.12</v>
      </c>
      <c r="I1845" s="13">
        <f t="shared" si="162"/>
        <v>124.02</v>
      </c>
      <c r="J1845" s="13">
        <f t="shared" si="163"/>
        <v>158.24</v>
      </c>
    </row>
    <row r="1846" spans="1:10" s="1" customFormat="1" ht="25.5" customHeight="1" x14ac:dyDescent="0.2">
      <c r="A1846" s="11" t="s">
        <v>78</v>
      </c>
      <c r="B1846" s="11" t="s">
        <v>508</v>
      </c>
      <c r="C1846" s="139" t="s">
        <v>509</v>
      </c>
      <c r="D1846" s="140"/>
      <c r="E1846" s="11" t="s">
        <v>102</v>
      </c>
      <c r="F1846" s="12">
        <v>12</v>
      </c>
      <c r="G1846" s="12">
        <v>47.22</v>
      </c>
      <c r="H1846" s="12">
        <v>60.25</v>
      </c>
      <c r="I1846" s="13">
        <f t="shared" si="162"/>
        <v>566.64</v>
      </c>
      <c r="J1846" s="13">
        <f t="shared" si="163"/>
        <v>723</v>
      </c>
    </row>
    <row r="1847" spans="1:10" s="1" customFormat="1" ht="25.5" customHeight="1" x14ac:dyDescent="0.2">
      <c r="A1847" s="11" t="s">
        <v>510</v>
      </c>
      <c r="B1847" s="11" t="s">
        <v>511</v>
      </c>
      <c r="C1847" s="139" t="s">
        <v>512</v>
      </c>
      <c r="D1847" s="140"/>
      <c r="E1847" s="11" t="s">
        <v>102</v>
      </c>
      <c r="F1847" s="12">
        <v>9</v>
      </c>
      <c r="G1847" s="12">
        <v>30.39</v>
      </c>
      <c r="H1847" s="12">
        <v>38.78</v>
      </c>
      <c r="I1847" s="13">
        <f t="shared" si="162"/>
        <v>273.51</v>
      </c>
      <c r="J1847" s="13">
        <f t="shared" si="163"/>
        <v>349.02</v>
      </c>
    </row>
    <row r="1848" spans="1:10" s="1" customFormat="1" ht="25.5" customHeight="1" x14ac:dyDescent="0.2">
      <c r="A1848" s="11" t="s">
        <v>308</v>
      </c>
      <c r="B1848" s="11" t="s">
        <v>513</v>
      </c>
      <c r="C1848" s="139" t="s">
        <v>514</v>
      </c>
      <c r="D1848" s="140"/>
      <c r="E1848" s="11" t="s">
        <v>102</v>
      </c>
      <c r="F1848" s="12">
        <v>2</v>
      </c>
      <c r="G1848" s="12">
        <v>224.79</v>
      </c>
      <c r="H1848" s="12">
        <v>286.81</v>
      </c>
      <c r="I1848" s="13">
        <f t="shared" si="162"/>
        <v>449.58</v>
      </c>
      <c r="J1848" s="13">
        <f t="shared" si="163"/>
        <v>573.62</v>
      </c>
    </row>
    <row r="1849" spans="1:10" s="1" customFormat="1" ht="25.5" customHeight="1" x14ac:dyDescent="0.2">
      <c r="A1849" s="11" t="s">
        <v>308</v>
      </c>
      <c r="B1849" s="11" t="s">
        <v>515</v>
      </c>
      <c r="C1849" s="139" t="s">
        <v>516</v>
      </c>
      <c r="D1849" s="140"/>
      <c r="E1849" s="11" t="s">
        <v>102</v>
      </c>
      <c r="F1849" s="12">
        <v>8</v>
      </c>
      <c r="G1849" s="12">
        <v>170.36</v>
      </c>
      <c r="H1849" s="12">
        <v>217.36</v>
      </c>
      <c r="I1849" s="13">
        <f t="shared" si="162"/>
        <v>1362.88</v>
      </c>
      <c r="J1849" s="13">
        <f t="shared" si="163"/>
        <v>1738.88</v>
      </c>
    </row>
    <row r="1850" spans="1:10" s="1" customFormat="1" ht="25.5" customHeight="1" x14ac:dyDescent="0.2">
      <c r="A1850" s="11" t="s">
        <v>308</v>
      </c>
      <c r="B1850" s="11" t="s">
        <v>517</v>
      </c>
      <c r="C1850" s="139" t="s">
        <v>518</v>
      </c>
      <c r="D1850" s="140"/>
      <c r="E1850" s="11" t="s">
        <v>102</v>
      </c>
      <c r="F1850" s="12">
        <v>4</v>
      </c>
      <c r="G1850" s="12">
        <v>108</v>
      </c>
      <c r="H1850" s="12">
        <v>137.80000000000001</v>
      </c>
      <c r="I1850" s="13">
        <f t="shared" si="162"/>
        <v>432</v>
      </c>
      <c r="J1850" s="13">
        <f t="shared" si="163"/>
        <v>551.20000000000005</v>
      </c>
    </row>
    <row r="1851" spans="1:10" s="1" customFormat="1" ht="25.5" customHeight="1" x14ac:dyDescent="0.2">
      <c r="A1851" s="11" t="s">
        <v>308</v>
      </c>
      <c r="B1851" s="11" t="s">
        <v>519</v>
      </c>
      <c r="C1851" s="139" t="s">
        <v>520</v>
      </c>
      <c r="D1851" s="140"/>
      <c r="E1851" s="11" t="s">
        <v>102</v>
      </c>
      <c r="F1851" s="12">
        <v>1</v>
      </c>
      <c r="G1851" s="13">
        <v>1249</v>
      </c>
      <c r="H1851" s="13">
        <v>1593.6</v>
      </c>
      <c r="I1851" s="13">
        <f t="shared" si="162"/>
        <v>1249</v>
      </c>
      <c r="J1851" s="13">
        <f t="shared" si="163"/>
        <v>1593.6</v>
      </c>
    </row>
    <row r="1852" spans="1:10" s="1" customFormat="1" ht="25.5" customHeight="1" x14ac:dyDescent="0.2">
      <c r="A1852" s="10">
        <v>86909</v>
      </c>
      <c r="B1852" s="11" t="s">
        <v>521</v>
      </c>
      <c r="C1852" s="139" t="s">
        <v>522</v>
      </c>
      <c r="D1852" s="140"/>
      <c r="E1852" s="11" t="s">
        <v>102</v>
      </c>
      <c r="F1852" s="12">
        <v>7</v>
      </c>
      <c r="G1852" s="12">
        <v>74.2</v>
      </c>
      <c r="H1852" s="12">
        <v>94.67</v>
      </c>
      <c r="I1852" s="13">
        <f t="shared" si="162"/>
        <v>519.4</v>
      </c>
      <c r="J1852" s="13">
        <f t="shared" si="163"/>
        <v>662.69</v>
      </c>
    </row>
    <row r="1853" spans="1:10" s="1" customFormat="1" ht="25.5" customHeight="1" x14ac:dyDescent="0.2">
      <c r="A1853" s="10">
        <v>86911</v>
      </c>
      <c r="B1853" s="11" t="s">
        <v>523</v>
      </c>
      <c r="C1853" s="139" t="s">
        <v>524</v>
      </c>
      <c r="D1853" s="140"/>
      <c r="E1853" s="11" t="s">
        <v>102</v>
      </c>
      <c r="F1853" s="12">
        <v>14</v>
      </c>
      <c r="G1853" s="12">
        <v>31.64</v>
      </c>
      <c r="H1853" s="12">
        <v>40.369999999999997</v>
      </c>
      <c r="I1853" s="13">
        <f t="shared" si="162"/>
        <v>442.96000000000004</v>
      </c>
      <c r="J1853" s="13">
        <f t="shared" si="163"/>
        <v>565.17999999999995</v>
      </c>
    </row>
    <row r="1854" spans="1:10" s="1" customFormat="1" ht="25.5" customHeight="1" x14ac:dyDescent="0.2">
      <c r="A1854" s="10">
        <v>86915</v>
      </c>
      <c r="B1854" s="11" t="s">
        <v>525</v>
      </c>
      <c r="C1854" s="139" t="s">
        <v>526</v>
      </c>
      <c r="D1854" s="140"/>
      <c r="E1854" s="11" t="s">
        <v>102</v>
      </c>
      <c r="F1854" s="12">
        <v>5</v>
      </c>
      <c r="G1854" s="12">
        <v>62.36</v>
      </c>
      <c r="H1854" s="12">
        <v>79.569999999999993</v>
      </c>
      <c r="I1854" s="13">
        <f t="shared" si="162"/>
        <v>311.8</v>
      </c>
      <c r="J1854" s="13">
        <f t="shared" si="163"/>
        <v>397.84999999999997</v>
      </c>
    </row>
    <row r="1855" spans="1:10" s="1" customFormat="1" ht="25.5" customHeight="1" x14ac:dyDescent="0.2">
      <c r="A1855" s="11" t="s">
        <v>527</v>
      </c>
      <c r="B1855" s="11" t="s">
        <v>528</v>
      </c>
      <c r="C1855" s="139" t="s">
        <v>529</v>
      </c>
      <c r="D1855" s="140"/>
      <c r="E1855" s="11" t="s">
        <v>102</v>
      </c>
      <c r="F1855" s="12">
        <v>3</v>
      </c>
      <c r="G1855" s="12">
        <v>100.46</v>
      </c>
      <c r="H1855" s="12">
        <v>128.16999999999999</v>
      </c>
      <c r="I1855" s="13">
        <f t="shared" si="162"/>
        <v>301.38</v>
      </c>
      <c r="J1855" s="13">
        <f t="shared" si="163"/>
        <v>384.51</v>
      </c>
    </row>
    <row r="1856" spans="1:10" s="1" customFormat="1" ht="25.5" customHeight="1" x14ac:dyDescent="0.2">
      <c r="A1856" s="10">
        <v>86910</v>
      </c>
      <c r="B1856" s="11" t="s">
        <v>530</v>
      </c>
      <c r="C1856" s="139" t="s">
        <v>531</v>
      </c>
      <c r="D1856" s="140"/>
      <c r="E1856" s="11" t="s">
        <v>102</v>
      </c>
      <c r="F1856" s="12">
        <v>4</v>
      </c>
      <c r="G1856" s="12">
        <v>71</v>
      </c>
      <c r="H1856" s="12">
        <v>90.59</v>
      </c>
      <c r="I1856" s="13">
        <f t="shared" si="162"/>
        <v>284</v>
      </c>
      <c r="J1856" s="13">
        <f t="shared" si="163"/>
        <v>362.36</v>
      </c>
    </row>
    <row r="1857" spans="1:10" s="1" customFormat="1" ht="25.5" customHeight="1" x14ac:dyDescent="0.2">
      <c r="A1857" s="10">
        <v>86906</v>
      </c>
      <c r="B1857" s="11" t="s">
        <v>532</v>
      </c>
      <c r="C1857" s="139" t="s">
        <v>533</v>
      </c>
      <c r="D1857" s="140"/>
      <c r="E1857" s="11" t="s">
        <v>102</v>
      </c>
      <c r="F1857" s="12">
        <v>7</v>
      </c>
      <c r="G1857" s="12">
        <v>37.18</v>
      </c>
      <c r="H1857" s="12">
        <v>47.44</v>
      </c>
      <c r="I1857" s="13">
        <f t="shared" si="162"/>
        <v>260.26</v>
      </c>
      <c r="J1857" s="13">
        <f t="shared" si="163"/>
        <v>332.08</v>
      </c>
    </row>
    <row r="1858" spans="1:10" s="1" customFormat="1" ht="25.5" customHeight="1" x14ac:dyDescent="0.2">
      <c r="A1858" s="10">
        <v>86913</v>
      </c>
      <c r="B1858" s="11" t="s">
        <v>534</v>
      </c>
      <c r="C1858" s="139" t="s">
        <v>535</v>
      </c>
      <c r="D1858" s="140"/>
      <c r="E1858" s="11" t="s">
        <v>102</v>
      </c>
      <c r="F1858" s="12">
        <v>6</v>
      </c>
      <c r="G1858" s="12">
        <v>14.42</v>
      </c>
      <c r="H1858" s="12">
        <v>18.399999999999999</v>
      </c>
      <c r="I1858" s="13">
        <f t="shared" si="162"/>
        <v>86.52</v>
      </c>
      <c r="J1858" s="13">
        <f t="shared" si="163"/>
        <v>110.39999999999999</v>
      </c>
    </row>
    <row r="1859" spans="1:10" s="1" customFormat="1" ht="25.5" customHeight="1" x14ac:dyDescent="0.2">
      <c r="A1859" s="11" t="s">
        <v>536</v>
      </c>
      <c r="B1859" s="11" t="s">
        <v>537</v>
      </c>
      <c r="C1859" s="139" t="s">
        <v>538</v>
      </c>
      <c r="D1859" s="140"/>
      <c r="E1859" s="11" t="s">
        <v>102</v>
      </c>
      <c r="F1859" s="12">
        <v>11</v>
      </c>
      <c r="G1859" s="12">
        <v>22.57</v>
      </c>
      <c r="H1859" s="12">
        <v>28.8</v>
      </c>
      <c r="I1859" s="13">
        <f t="shared" si="162"/>
        <v>248.27</v>
      </c>
      <c r="J1859" s="13">
        <f t="shared" si="163"/>
        <v>316.8</v>
      </c>
    </row>
    <row r="1860" spans="1:10" s="1" customFormat="1" ht="25.5" customHeight="1" x14ac:dyDescent="0.2">
      <c r="A1860" s="10">
        <v>94796</v>
      </c>
      <c r="B1860" s="11" t="s">
        <v>539</v>
      </c>
      <c r="C1860" s="139" t="s">
        <v>540</v>
      </c>
      <c r="D1860" s="140"/>
      <c r="E1860" s="11" t="s">
        <v>102</v>
      </c>
      <c r="F1860" s="12">
        <v>1</v>
      </c>
      <c r="G1860" s="12">
        <v>26.75</v>
      </c>
      <c r="H1860" s="12">
        <v>34.130000000000003</v>
      </c>
      <c r="I1860" s="13">
        <f t="shared" si="162"/>
        <v>26.75</v>
      </c>
      <c r="J1860" s="13">
        <f t="shared" si="163"/>
        <v>34.130000000000003</v>
      </c>
    </row>
    <row r="1861" spans="1:10" s="1" customFormat="1" ht="25.5" customHeight="1" x14ac:dyDescent="0.2">
      <c r="A1861" s="10">
        <v>89985</v>
      </c>
      <c r="B1861" s="11" t="s">
        <v>541</v>
      </c>
      <c r="C1861" s="139" t="s">
        <v>542</v>
      </c>
      <c r="D1861" s="140"/>
      <c r="E1861" s="11" t="s">
        <v>102</v>
      </c>
      <c r="F1861" s="12">
        <v>19</v>
      </c>
      <c r="G1861" s="12">
        <v>61.1</v>
      </c>
      <c r="H1861" s="12">
        <v>77.959999999999994</v>
      </c>
      <c r="I1861" s="13">
        <f t="shared" si="162"/>
        <v>1160.9000000000001</v>
      </c>
      <c r="J1861" s="13">
        <f t="shared" si="163"/>
        <v>1481.2399999999998</v>
      </c>
    </row>
    <row r="1862" spans="1:10" s="1" customFormat="1" ht="25.5" customHeight="1" x14ac:dyDescent="0.2">
      <c r="A1862" s="10">
        <v>89351</v>
      </c>
      <c r="B1862" s="11" t="s">
        <v>543</v>
      </c>
      <c r="C1862" s="139" t="s">
        <v>544</v>
      </c>
      <c r="D1862" s="140"/>
      <c r="E1862" s="11" t="s">
        <v>102</v>
      </c>
      <c r="F1862" s="12">
        <v>5</v>
      </c>
      <c r="G1862" s="12">
        <v>24.75</v>
      </c>
      <c r="H1862" s="12">
        <v>31.58</v>
      </c>
      <c r="I1862" s="13">
        <f t="shared" si="162"/>
        <v>123.75</v>
      </c>
      <c r="J1862" s="13">
        <f t="shared" si="163"/>
        <v>157.89999999999998</v>
      </c>
    </row>
    <row r="1863" spans="1:10" s="1" customFormat="1" ht="25.5" customHeight="1" x14ac:dyDescent="0.2">
      <c r="A1863" s="11" t="s">
        <v>545</v>
      </c>
      <c r="B1863" s="11" t="s">
        <v>546</v>
      </c>
      <c r="C1863" s="139" t="s">
        <v>547</v>
      </c>
      <c r="D1863" s="140"/>
      <c r="E1863" s="11" t="s">
        <v>102</v>
      </c>
      <c r="F1863" s="12">
        <v>8</v>
      </c>
      <c r="G1863" s="12">
        <v>40.06</v>
      </c>
      <c r="H1863" s="12">
        <v>51.11</v>
      </c>
      <c r="I1863" s="13">
        <f t="shared" si="162"/>
        <v>320.48</v>
      </c>
      <c r="J1863" s="13">
        <f t="shared" si="163"/>
        <v>408.88</v>
      </c>
    </row>
    <row r="1864" spans="1:10" s="1" customFormat="1" ht="25.5" customHeight="1" x14ac:dyDescent="0.2">
      <c r="A1864" s="11" t="s">
        <v>548</v>
      </c>
      <c r="B1864" s="11" t="s">
        <v>549</v>
      </c>
      <c r="C1864" s="139" t="s">
        <v>550</v>
      </c>
      <c r="D1864" s="140"/>
      <c r="E1864" s="11" t="s">
        <v>102</v>
      </c>
      <c r="F1864" s="12">
        <v>6</v>
      </c>
      <c r="G1864" s="12">
        <v>71.88</v>
      </c>
      <c r="H1864" s="12">
        <v>91.72</v>
      </c>
      <c r="I1864" s="13">
        <f t="shared" si="162"/>
        <v>431.28</v>
      </c>
      <c r="J1864" s="13">
        <f t="shared" si="163"/>
        <v>550.31999999999994</v>
      </c>
    </row>
    <row r="1865" spans="1:10" s="1" customFormat="1" ht="25.5" customHeight="1" x14ac:dyDescent="0.2">
      <c r="A1865" s="11" t="s">
        <v>551</v>
      </c>
      <c r="B1865" s="11" t="s">
        <v>552</v>
      </c>
      <c r="C1865" s="139" t="s">
        <v>553</v>
      </c>
      <c r="D1865" s="140"/>
      <c r="E1865" s="11" t="s">
        <v>102</v>
      </c>
      <c r="F1865" s="12">
        <v>5</v>
      </c>
      <c r="G1865" s="12">
        <v>267.62</v>
      </c>
      <c r="H1865" s="12">
        <v>341.45</v>
      </c>
      <c r="I1865" s="13">
        <f t="shared" si="162"/>
        <v>1338.1</v>
      </c>
      <c r="J1865" s="13">
        <f t="shared" si="163"/>
        <v>1707.25</v>
      </c>
    </row>
    <row r="1866" spans="1:10" s="1" customFormat="1" ht="25.5" customHeight="1" x14ac:dyDescent="0.2">
      <c r="A1866" s="10">
        <v>89987</v>
      </c>
      <c r="B1866" s="11" t="s">
        <v>554</v>
      </c>
      <c r="C1866" s="139" t="s">
        <v>555</v>
      </c>
      <c r="D1866" s="140"/>
      <c r="E1866" s="11" t="s">
        <v>102</v>
      </c>
      <c r="F1866" s="12">
        <v>39</v>
      </c>
      <c r="G1866" s="12">
        <v>64.260000000000005</v>
      </c>
      <c r="H1866" s="12">
        <v>81.99</v>
      </c>
      <c r="I1866" s="13">
        <f t="shared" si="162"/>
        <v>2506.1400000000003</v>
      </c>
      <c r="J1866" s="13">
        <f t="shared" si="163"/>
        <v>3197.6099999999997</v>
      </c>
    </row>
    <row r="1867" spans="1:10" s="1" customFormat="1" ht="25.5" customHeight="1" x14ac:dyDescent="0.2">
      <c r="A1867" s="10">
        <v>94792</v>
      </c>
      <c r="B1867" s="11" t="s">
        <v>556</v>
      </c>
      <c r="C1867" s="139" t="s">
        <v>557</v>
      </c>
      <c r="D1867" s="140"/>
      <c r="E1867" s="11" t="s">
        <v>102</v>
      </c>
      <c r="F1867" s="12">
        <v>10</v>
      </c>
      <c r="G1867" s="12">
        <v>92.77</v>
      </c>
      <c r="H1867" s="12">
        <v>118.37</v>
      </c>
      <c r="I1867" s="13">
        <f t="shared" si="162"/>
        <v>927.69999999999993</v>
      </c>
      <c r="J1867" s="13">
        <f t="shared" si="163"/>
        <v>1183.7</v>
      </c>
    </row>
    <row r="1868" spans="1:10" s="1" customFormat="1" ht="25.5" customHeight="1" x14ac:dyDescent="0.2">
      <c r="A1868" s="10">
        <v>94794</v>
      </c>
      <c r="B1868" s="11" t="s">
        <v>558</v>
      </c>
      <c r="C1868" s="139" t="s">
        <v>559</v>
      </c>
      <c r="D1868" s="140"/>
      <c r="E1868" s="11" t="s">
        <v>102</v>
      </c>
      <c r="F1868" s="12">
        <v>12</v>
      </c>
      <c r="G1868" s="12">
        <v>124.23</v>
      </c>
      <c r="H1868" s="12">
        <v>158.5</v>
      </c>
      <c r="I1868" s="13">
        <f t="shared" si="162"/>
        <v>1490.76</v>
      </c>
      <c r="J1868" s="13">
        <f t="shared" si="163"/>
        <v>1902</v>
      </c>
    </row>
    <row r="1869" spans="1:10" s="1" customFormat="1" ht="25.5" customHeight="1" x14ac:dyDescent="0.2">
      <c r="A1869" s="11" t="s">
        <v>78</v>
      </c>
      <c r="B1869" s="11" t="s">
        <v>560</v>
      </c>
      <c r="C1869" s="139" t="s">
        <v>561</v>
      </c>
      <c r="D1869" s="140"/>
      <c r="E1869" s="11" t="s">
        <v>102</v>
      </c>
      <c r="F1869" s="12">
        <v>11</v>
      </c>
      <c r="G1869" s="12">
        <v>20.3</v>
      </c>
      <c r="H1869" s="12">
        <v>25.91</v>
      </c>
      <c r="I1869" s="13">
        <f t="shared" si="162"/>
        <v>223.3</v>
      </c>
      <c r="J1869" s="13">
        <f t="shared" si="163"/>
        <v>285.01</v>
      </c>
    </row>
    <row r="1870" spans="1:10" s="1" customFormat="1" ht="25.5" customHeight="1" x14ac:dyDescent="0.2">
      <c r="A1870" s="11" t="s">
        <v>78</v>
      </c>
      <c r="B1870" s="11" t="s">
        <v>562</v>
      </c>
      <c r="C1870" s="139" t="s">
        <v>563</v>
      </c>
      <c r="D1870" s="140"/>
      <c r="E1870" s="11" t="s">
        <v>102</v>
      </c>
      <c r="F1870" s="12">
        <v>7</v>
      </c>
      <c r="G1870" s="12">
        <v>25.99</v>
      </c>
      <c r="H1870" s="12">
        <v>33.159999999999997</v>
      </c>
      <c r="I1870" s="13">
        <f t="shared" si="162"/>
        <v>181.92999999999998</v>
      </c>
      <c r="J1870" s="13">
        <f t="shared" si="163"/>
        <v>232.11999999999998</v>
      </c>
    </row>
    <row r="1871" spans="1:10" s="1" customFormat="1" ht="25.5" customHeight="1" x14ac:dyDescent="0.2">
      <c r="A1871" s="10">
        <v>9535</v>
      </c>
      <c r="B1871" s="11" t="s">
        <v>564</v>
      </c>
      <c r="C1871" s="139" t="s">
        <v>565</v>
      </c>
      <c r="D1871" s="140"/>
      <c r="E1871" s="11" t="s">
        <v>102</v>
      </c>
      <c r="F1871" s="12">
        <v>12</v>
      </c>
      <c r="G1871" s="12">
        <v>56.12</v>
      </c>
      <c r="H1871" s="12">
        <v>71.599999999999994</v>
      </c>
      <c r="I1871" s="13">
        <f t="shared" si="162"/>
        <v>673.43999999999994</v>
      </c>
      <c r="J1871" s="13">
        <f t="shared" si="163"/>
        <v>859.19999999999993</v>
      </c>
    </row>
    <row r="1872" spans="1:10" s="1" customFormat="1" ht="25.5" customHeight="1" x14ac:dyDescent="0.2">
      <c r="A1872" s="11" t="s">
        <v>308</v>
      </c>
      <c r="B1872" s="11" t="s">
        <v>566</v>
      </c>
      <c r="C1872" s="139" t="s">
        <v>567</v>
      </c>
      <c r="D1872" s="140"/>
      <c r="E1872" s="11" t="s">
        <v>102</v>
      </c>
      <c r="F1872" s="12">
        <v>4</v>
      </c>
      <c r="G1872" s="12">
        <v>40.85</v>
      </c>
      <c r="H1872" s="12">
        <v>52.12</v>
      </c>
      <c r="I1872" s="13">
        <f t="shared" si="162"/>
        <v>163.4</v>
      </c>
      <c r="J1872" s="13">
        <f t="shared" si="163"/>
        <v>208.48</v>
      </c>
    </row>
    <row r="1873" spans="1:10" s="1" customFormat="1" ht="25.5" customHeight="1" x14ac:dyDescent="0.2">
      <c r="A1873" s="10">
        <v>9535</v>
      </c>
      <c r="B1873" s="11" t="s">
        <v>568</v>
      </c>
      <c r="C1873" s="139" t="s">
        <v>569</v>
      </c>
      <c r="D1873" s="140"/>
      <c r="E1873" s="11" t="s">
        <v>102</v>
      </c>
      <c r="F1873" s="12">
        <v>4</v>
      </c>
      <c r="G1873" s="12">
        <v>56.21</v>
      </c>
      <c r="H1873" s="12">
        <v>71.709999999999994</v>
      </c>
      <c r="I1873" s="13">
        <f t="shared" si="162"/>
        <v>224.84</v>
      </c>
      <c r="J1873" s="13">
        <f t="shared" si="163"/>
        <v>286.83999999999997</v>
      </c>
    </row>
    <row r="1874" spans="1:10" s="1" customFormat="1" ht="25.5" customHeight="1" x14ac:dyDescent="0.2">
      <c r="A1874" s="11" t="s">
        <v>78</v>
      </c>
      <c r="B1874" s="11" t="s">
        <v>570</v>
      </c>
      <c r="C1874" s="139" t="s">
        <v>571</v>
      </c>
      <c r="D1874" s="140"/>
      <c r="E1874" s="11" t="s">
        <v>102</v>
      </c>
      <c r="F1874" s="12">
        <v>5</v>
      </c>
      <c r="G1874" s="12">
        <v>132.01</v>
      </c>
      <c r="H1874" s="12">
        <v>168.43</v>
      </c>
      <c r="I1874" s="13">
        <f t="shared" si="162"/>
        <v>660.05</v>
      </c>
      <c r="J1874" s="13">
        <f t="shared" si="163"/>
        <v>842.15000000000009</v>
      </c>
    </row>
    <row r="1875" spans="1:10" s="1" customFormat="1" ht="25.5" customHeight="1" x14ac:dyDescent="0.2">
      <c r="A1875" s="10">
        <v>40729</v>
      </c>
      <c r="B1875" s="11" t="s">
        <v>572</v>
      </c>
      <c r="C1875" s="139" t="s">
        <v>573</v>
      </c>
      <c r="D1875" s="140"/>
      <c r="E1875" s="11" t="s">
        <v>102</v>
      </c>
      <c r="F1875" s="12">
        <v>23</v>
      </c>
      <c r="G1875" s="12">
        <v>218.15</v>
      </c>
      <c r="H1875" s="12">
        <v>278.33999999999997</v>
      </c>
      <c r="I1875" s="13">
        <f t="shared" si="162"/>
        <v>5017.45</v>
      </c>
      <c r="J1875" s="13">
        <f t="shared" si="163"/>
        <v>6401.82</v>
      </c>
    </row>
    <row r="1876" spans="1:10" s="1" customFormat="1" ht="25.5" customHeight="1" x14ac:dyDescent="0.2">
      <c r="A1876" s="11" t="s">
        <v>308</v>
      </c>
      <c r="B1876" s="11" t="s">
        <v>574</v>
      </c>
      <c r="C1876" s="139" t="s">
        <v>575</v>
      </c>
      <c r="D1876" s="140"/>
      <c r="E1876" s="11" t="s">
        <v>102</v>
      </c>
      <c r="F1876" s="12">
        <v>1</v>
      </c>
      <c r="G1876" s="13">
        <v>5800</v>
      </c>
      <c r="H1876" s="13">
        <v>7400.22</v>
      </c>
      <c r="I1876" s="13">
        <f t="shared" si="162"/>
        <v>5800</v>
      </c>
      <c r="J1876" s="13">
        <f t="shared" si="163"/>
        <v>7400.22</v>
      </c>
    </row>
    <row r="1877" spans="1:10" s="1" customFormat="1" ht="25.5" customHeight="1" x14ac:dyDescent="0.2">
      <c r="A1877" s="11" t="s">
        <v>308</v>
      </c>
      <c r="B1877" s="11" t="s">
        <v>576</v>
      </c>
      <c r="C1877" s="139" t="s">
        <v>577</v>
      </c>
      <c r="D1877" s="140"/>
      <c r="E1877" s="11" t="s">
        <v>102</v>
      </c>
      <c r="F1877" s="12">
        <v>23</v>
      </c>
      <c r="G1877" s="12">
        <v>7.69</v>
      </c>
      <c r="H1877" s="12">
        <v>9.81</v>
      </c>
      <c r="I1877" s="13">
        <f t="shared" si="162"/>
        <v>176.87</v>
      </c>
      <c r="J1877" s="13">
        <f t="shared" si="163"/>
        <v>225.63000000000002</v>
      </c>
    </row>
    <row r="1878" spans="1:10" s="1" customFormat="1" ht="25.5" customHeight="1" x14ac:dyDescent="0.2">
      <c r="A1878" s="11" t="s">
        <v>578</v>
      </c>
      <c r="B1878" s="11" t="s">
        <v>579</v>
      </c>
      <c r="C1878" s="139" t="s">
        <v>580</v>
      </c>
      <c r="D1878" s="140"/>
      <c r="E1878" s="11" t="s">
        <v>102</v>
      </c>
      <c r="F1878" s="12">
        <v>1</v>
      </c>
      <c r="G1878" s="12">
        <v>7.69</v>
      </c>
      <c r="H1878" s="12">
        <v>9.81</v>
      </c>
      <c r="I1878" s="13">
        <f t="shared" si="162"/>
        <v>7.69</v>
      </c>
      <c r="J1878" s="13">
        <f t="shared" si="163"/>
        <v>9.81</v>
      </c>
    </row>
    <row r="1879" spans="1:10" s="1" customFormat="1" ht="25.5" customHeight="1" x14ac:dyDescent="0.2">
      <c r="A1879" s="11" t="s">
        <v>581</v>
      </c>
      <c r="B1879" s="11" t="s">
        <v>582</v>
      </c>
      <c r="C1879" s="139" t="s">
        <v>583</v>
      </c>
      <c r="D1879" s="140"/>
      <c r="E1879" s="11" t="s">
        <v>102</v>
      </c>
      <c r="F1879" s="12">
        <v>1</v>
      </c>
      <c r="G1879" s="12">
        <v>44.58</v>
      </c>
      <c r="H1879" s="12">
        <v>56.88</v>
      </c>
      <c r="I1879" s="13">
        <f t="shared" si="162"/>
        <v>44.58</v>
      </c>
      <c r="J1879" s="13">
        <f t="shared" si="163"/>
        <v>56.88</v>
      </c>
    </row>
    <row r="1880" spans="1:10" s="1" customFormat="1" ht="25.5" customHeight="1" x14ac:dyDescent="0.2">
      <c r="A1880" s="11" t="s">
        <v>584</v>
      </c>
      <c r="B1880" s="11" t="s">
        <v>585</v>
      </c>
      <c r="C1880" s="139" t="s">
        <v>586</v>
      </c>
      <c r="D1880" s="140"/>
      <c r="E1880" s="11" t="s">
        <v>102</v>
      </c>
      <c r="F1880" s="12">
        <v>9</v>
      </c>
      <c r="G1880" s="12">
        <v>95.78</v>
      </c>
      <c r="H1880" s="12">
        <v>122.2</v>
      </c>
      <c r="I1880" s="13">
        <f t="shared" si="162"/>
        <v>862.02</v>
      </c>
      <c r="J1880" s="13">
        <f t="shared" si="163"/>
        <v>1099.8</v>
      </c>
    </row>
    <row r="1881" spans="1:10" s="1" customFormat="1" ht="25.5" customHeight="1" x14ac:dyDescent="0.2">
      <c r="A1881" s="11" t="s">
        <v>78</v>
      </c>
      <c r="B1881" s="11" t="s">
        <v>587</v>
      </c>
      <c r="C1881" s="139" t="s">
        <v>588</v>
      </c>
      <c r="D1881" s="140"/>
      <c r="E1881" s="11" t="s">
        <v>102</v>
      </c>
      <c r="F1881" s="12">
        <v>1</v>
      </c>
      <c r="G1881" s="13">
        <v>1067.05</v>
      </c>
      <c r="H1881" s="13">
        <v>1361.45</v>
      </c>
      <c r="I1881" s="13">
        <f t="shared" si="162"/>
        <v>1067.05</v>
      </c>
      <c r="J1881" s="13">
        <f t="shared" si="163"/>
        <v>1361.45</v>
      </c>
    </row>
    <row r="1882" spans="1:10" s="1" customFormat="1" ht="25.5" customHeight="1" x14ac:dyDescent="0.2">
      <c r="A1882" s="11" t="s">
        <v>308</v>
      </c>
      <c r="B1882" s="11" t="s">
        <v>589</v>
      </c>
      <c r="C1882" s="139" t="s">
        <v>590</v>
      </c>
      <c r="D1882" s="140"/>
      <c r="E1882" s="11" t="s">
        <v>102</v>
      </c>
      <c r="F1882" s="12">
        <v>9</v>
      </c>
      <c r="G1882" s="12">
        <v>49.99</v>
      </c>
      <c r="H1882" s="12">
        <v>63.78</v>
      </c>
      <c r="I1882" s="13">
        <f t="shared" si="162"/>
        <v>449.91</v>
      </c>
      <c r="J1882" s="13">
        <f t="shared" si="163"/>
        <v>574.02</v>
      </c>
    </row>
    <row r="1883" spans="1:10" s="1" customFormat="1" ht="25.5" customHeight="1" x14ac:dyDescent="0.2">
      <c r="A1883" s="11" t="s">
        <v>308</v>
      </c>
      <c r="B1883" s="11" t="s">
        <v>591</v>
      </c>
      <c r="C1883" s="139" t="s">
        <v>592</v>
      </c>
      <c r="D1883" s="140"/>
      <c r="E1883" s="11" t="s">
        <v>102</v>
      </c>
      <c r="F1883" s="12">
        <v>2</v>
      </c>
      <c r="G1883" s="12">
        <v>205.99</v>
      </c>
      <c r="H1883" s="12">
        <v>262.82</v>
      </c>
      <c r="I1883" s="13">
        <f t="shared" si="162"/>
        <v>411.98</v>
      </c>
      <c r="J1883" s="13">
        <f t="shared" si="163"/>
        <v>525.64</v>
      </c>
    </row>
    <row r="1884" spans="1:10" s="1" customFormat="1" ht="25.5" customHeight="1" x14ac:dyDescent="0.2">
      <c r="A1884" s="11" t="s">
        <v>308</v>
      </c>
      <c r="B1884" s="11" t="s">
        <v>593</v>
      </c>
      <c r="C1884" s="139" t="s">
        <v>594</v>
      </c>
      <c r="D1884" s="140"/>
      <c r="E1884" s="11" t="s">
        <v>102</v>
      </c>
      <c r="F1884" s="12">
        <v>6</v>
      </c>
      <c r="G1884" s="12">
        <v>0.17</v>
      </c>
      <c r="H1884" s="12">
        <v>0.22</v>
      </c>
      <c r="I1884" s="13">
        <f t="shared" si="162"/>
        <v>1.02</v>
      </c>
      <c r="J1884" s="13">
        <f t="shared" si="163"/>
        <v>1.32</v>
      </c>
    </row>
    <row r="1885" spans="1:10" s="1" customFormat="1" ht="25.5" customHeight="1" x14ac:dyDescent="0.2">
      <c r="A1885" s="11" t="s">
        <v>308</v>
      </c>
      <c r="B1885" s="11" t="s">
        <v>595</v>
      </c>
      <c r="C1885" s="139" t="s">
        <v>596</v>
      </c>
      <c r="D1885" s="140"/>
      <c r="E1885" s="11" t="s">
        <v>102</v>
      </c>
      <c r="F1885" s="12">
        <v>13</v>
      </c>
      <c r="G1885" s="12">
        <v>0.25</v>
      </c>
      <c r="H1885" s="12">
        <v>0.32</v>
      </c>
      <c r="I1885" s="13">
        <f t="shared" si="162"/>
        <v>3.25</v>
      </c>
      <c r="J1885" s="13">
        <f t="shared" si="163"/>
        <v>4.16</v>
      </c>
    </row>
    <row r="1886" spans="1:10" s="1" customFormat="1" ht="25.5" customHeight="1" x14ac:dyDescent="0.2">
      <c r="A1886" s="11" t="s">
        <v>308</v>
      </c>
      <c r="B1886" s="11" t="s">
        <v>597</v>
      </c>
      <c r="C1886" s="139" t="s">
        <v>598</v>
      </c>
      <c r="D1886" s="140"/>
      <c r="E1886" s="11" t="s">
        <v>102</v>
      </c>
      <c r="F1886" s="12">
        <v>13</v>
      </c>
      <c r="G1886" s="12">
        <v>0.54</v>
      </c>
      <c r="H1886" s="12">
        <v>0.69</v>
      </c>
      <c r="I1886" s="13">
        <f t="shared" si="162"/>
        <v>7.0200000000000005</v>
      </c>
      <c r="J1886" s="13">
        <f t="shared" si="163"/>
        <v>8.9699999999999989</v>
      </c>
    </row>
    <row r="1887" spans="1:10" s="1" customFormat="1" ht="25.5" customHeight="1" x14ac:dyDescent="0.2">
      <c r="A1887" s="11" t="s">
        <v>308</v>
      </c>
      <c r="B1887" s="11" t="s">
        <v>599</v>
      </c>
      <c r="C1887" s="139" t="s">
        <v>600</v>
      </c>
      <c r="D1887" s="140"/>
      <c r="E1887" s="11" t="s">
        <v>102</v>
      </c>
      <c r="F1887" s="12">
        <v>20</v>
      </c>
      <c r="G1887" s="12">
        <v>0.62</v>
      </c>
      <c r="H1887" s="12">
        <v>0.79</v>
      </c>
      <c r="I1887" s="13">
        <f t="shared" si="162"/>
        <v>12.4</v>
      </c>
      <c r="J1887" s="13">
        <f t="shared" si="163"/>
        <v>15.8</v>
      </c>
    </row>
    <row r="1888" spans="1:10" s="1" customFormat="1" ht="25.5" customHeight="1" x14ac:dyDescent="0.2">
      <c r="A1888" s="11" t="s">
        <v>308</v>
      </c>
      <c r="B1888" s="11" t="s">
        <v>601</v>
      </c>
      <c r="C1888" s="139" t="s">
        <v>602</v>
      </c>
      <c r="D1888" s="140"/>
      <c r="E1888" s="11" t="s">
        <v>102</v>
      </c>
      <c r="F1888" s="12">
        <v>8</v>
      </c>
      <c r="G1888" s="12">
        <v>1.95</v>
      </c>
      <c r="H1888" s="12">
        <v>2.4900000000000002</v>
      </c>
      <c r="I1888" s="13">
        <f t="shared" si="162"/>
        <v>15.6</v>
      </c>
      <c r="J1888" s="13">
        <f t="shared" si="163"/>
        <v>19.920000000000002</v>
      </c>
    </row>
    <row r="1889" spans="1:10" s="1" customFormat="1" ht="25.5" customHeight="1" x14ac:dyDescent="0.2">
      <c r="A1889" s="10">
        <v>95547</v>
      </c>
      <c r="B1889" s="11" t="s">
        <v>603</v>
      </c>
      <c r="C1889" s="139" t="s">
        <v>604</v>
      </c>
      <c r="D1889" s="140"/>
      <c r="E1889" s="11" t="s">
        <v>102</v>
      </c>
      <c r="F1889" s="12">
        <v>32</v>
      </c>
      <c r="G1889" s="12">
        <v>48.53</v>
      </c>
      <c r="H1889" s="12">
        <v>61.92</v>
      </c>
      <c r="I1889" s="13">
        <f t="shared" si="162"/>
        <v>1552.96</v>
      </c>
      <c r="J1889" s="13">
        <f t="shared" si="163"/>
        <v>1981.44</v>
      </c>
    </row>
    <row r="1890" spans="1:10" s="1" customFormat="1" ht="25.5" customHeight="1" x14ac:dyDescent="0.2">
      <c r="A1890" s="10">
        <v>95542</v>
      </c>
      <c r="B1890" s="11" t="s">
        <v>605</v>
      </c>
      <c r="C1890" s="139" t="s">
        <v>606</v>
      </c>
      <c r="D1890" s="140"/>
      <c r="E1890" s="11" t="s">
        <v>102</v>
      </c>
      <c r="F1890" s="12">
        <v>30</v>
      </c>
      <c r="G1890" s="12">
        <v>16.57</v>
      </c>
      <c r="H1890" s="12">
        <v>21.14</v>
      </c>
      <c r="I1890" s="13">
        <f t="shared" si="162"/>
        <v>497.1</v>
      </c>
      <c r="J1890" s="13">
        <f t="shared" si="163"/>
        <v>634.20000000000005</v>
      </c>
    </row>
    <row r="1891" spans="1:10" s="1" customFormat="1" ht="25.5" customHeight="1" x14ac:dyDescent="0.2">
      <c r="A1891" s="11" t="s">
        <v>607</v>
      </c>
      <c r="B1891" s="11" t="s">
        <v>608</v>
      </c>
      <c r="C1891" s="139" t="s">
        <v>609</v>
      </c>
      <c r="D1891" s="140"/>
      <c r="E1891" s="11" t="s">
        <v>102</v>
      </c>
      <c r="F1891" s="12">
        <v>23</v>
      </c>
      <c r="G1891" s="12">
        <v>37.58</v>
      </c>
      <c r="H1891" s="12">
        <v>47.94</v>
      </c>
      <c r="I1891" s="13">
        <f t="shared" si="162"/>
        <v>864.33999999999992</v>
      </c>
      <c r="J1891" s="13">
        <f t="shared" si="163"/>
        <v>1102.6199999999999</v>
      </c>
    </row>
    <row r="1892" spans="1:10" s="1" customFormat="1" ht="25.5" customHeight="1" x14ac:dyDescent="0.2">
      <c r="A1892" s="11" t="s">
        <v>610</v>
      </c>
      <c r="B1892" s="11" t="s">
        <v>611</v>
      </c>
      <c r="C1892" s="139" t="s">
        <v>612</v>
      </c>
      <c r="D1892" s="140"/>
      <c r="E1892" s="11" t="s">
        <v>102</v>
      </c>
      <c r="F1892" s="12">
        <v>17</v>
      </c>
      <c r="G1892" s="12">
        <v>30.88</v>
      </c>
      <c r="H1892" s="12">
        <v>39.4</v>
      </c>
      <c r="I1892" s="13">
        <f t="shared" si="162"/>
        <v>524.96</v>
      </c>
      <c r="J1892" s="13">
        <f t="shared" si="163"/>
        <v>669.8</v>
      </c>
    </row>
    <row r="1893" spans="1:10" s="1" customFormat="1" ht="25.5" customHeight="1" x14ac:dyDescent="0.2">
      <c r="A1893" s="8"/>
      <c r="B1893" s="149" t="s">
        <v>613</v>
      </c>
      <c r="C1893" s="150"/>
      <c r="D1893" s="150"/>
      <c r="E1893" s="150"/>
      <c r="F1893" s="150"/>
      <c r="G1893" s="151"/>
      <c r="H1893" s="8"/>
      <c r="I1893" s="14">
        <f>SUM(I1839:I1892)-0.2</f>
        <v>42951.24</v>
      </c>
      <c r="J1893" s="15">
        <f>SUM(J1839:J1892)-1</f>
        <v>54800.750000000007</v>
      </c>
    </row>
    <row r="1894" spans="1:10" s="1" customFormat="1" ht="25.5" customHeight="1" x14ac:dyDescent="0.2">
      <c r="A1894" s="8"/>
      <c r="B1894" s="9" t="s">
        <v>614</v>
      </c>
      <c r="C1894" s="137" t="s">
        <v>615</v>
      </c>
      <c r="D1894" s="138"/>
      <c r="E1894" s="8"/>
      <c r="F1894" s="8"/>
      <c r="G1894" s="8"/>
      <c r="H1894" s="8"/>
      <c r="I1894" s="8"/>
      <c r="J1894" s="8"/>
    </row>
    <row r="1895" spans="1:10" s="1" customFormat="1" ht="25.5" customHeight="1" x14ac:dyDescent="0.2">
      <c r="A1895" s="11" t="s">
        <v>78</v>
      </c>
      <c r="B1895" s="11" t="s">
        <v>616</v>
      </c>
      <c r="C1895" s="139" t="s">
        <v>617</v>
      </c>
      <c r="D1895" s="140"/>
      <c r="E1895" s="11" t="s">
        <v>102</v>
      </c>
      <c r="F1895" s="12">
        <v>2</v>
      </c>
      <c r="G1895" s="13">
        <v>1100.49</v>
      </c>
      <c r="H1895" s="13">
        <v>1404.12</v>
      </c>
      <c r="I1895" s="13">
        <f>F1895*G1895</f>
        <v>2200.98</v>
      </c>
      <c r="J1895" s="13">
        <f>F1895*H1895</f>
        <v>2808.24</v>
      </c>
    </row>
    <row r="1896" spans="1:10" s="1" customFormat="1" ht="25.5" customHeight="1" x14ac:dyDescent="0.2">
      <c r="A1896" s="11" t="s">
        <v>308</v>
      </c>
      <c r="B1896" s="11" t="s">
        <v>618</v>
      </c>
      <c r="C1896" s="139" t="s">
        <v>619</v>
      </c>
      <c r="D1896" s="140"/>
      <c r="E1896" s="11" t="s">
        <v>102</v>
      </c>
      <c r="F1896" s="12">
        <v>1</v>
      </c>
      <c r="G1896" s="12">
        <v>33</v>
      </c>
      <c r="H1896" s="12">
        <v>42.1</v>
      </c>
      <c r="I1896" s="13">
        <f>F1896*G1896</f>
        <v>33</v>
      </c>
      <c r="J1896" s="13">
        <f>F1896*H1896</f>
        <v>42.1</v>
      </c>
    </row>
    <row r="1897" spans="1:10" s="1" customFormat="1" ht="25.5" customHeight="1" x14ac:dyDescent="0.2">
      <c r="A1897" s="11" t="s">
        <v>308</v>
      </c>
      <c r="B1897" s="11" t="s">
        <v>620</v>
      </c>
      <c r="C1897" s="139" t="s">
        <v>621</v>
      </c>
      <c r="D1897" s="140"/>
      <c r="E1897" s="11" t="s">
        <v>102</v>
      </c>
      <c r="F1897" s="12">
        <v>2</v>
      </c>
      <c r="G1897" s="12">
        <v>36.5</v>
      </c>
      <c r="H1897" s="12">
        <v>46.57</v>
      </c>
      <c r="I1897" s="13">
        <f>F1897*G1897</f>
        <v>73</v>
      </c>
      <c r="J1897" s="13">
        <f>F1897*H1897</f>
        <v>93.14</v>
      </c>
    </row>
    <row r="1898" spans="1:10" s="1" customFormat="1" ht="25.5" customHeight="1" x14ac:dyDescent="0.2">
      <c r="A1898" s="8"/>
      <c r="B1898" s="149" t="s">
        <v>622</v>
      </c>
      <c r="C1898" s="150"/>
      <c r="D1898" s="150"/>
      <c r="E1898" s="150"/>
      <c r="F1898" s="150"/>
      <c r="G1898" s="151"/>
      <c r="H1898" s="8"/>
      <c r="I1898" s="14">
        <f>SUM(I1895:I1897)</f>
        <v>2306.98</v>
      </c>
      <c r="J1898" s="15">
        <f>SUM(J1895:J1897)</f>
        <v>2943.4799999999996</v>
      </c>
    </row>
    <row r="1899" spans="1:10" s="1" customFormat="1" ht="25.5" customHeight="1" x14ac:dyDescent="0.2">
      <c r="A1899" s="8"/>
      <c r="B1899" s="9" t="s">
        <v>623</v>
      </c>
      <c r="C1899" s="137" t="s">
        <v>624</v>
      </c>
      <c r="D1899" s="138"/>
      <c r="E1899" s="8"/>
      <c r="F1899" s="8"/>
      <c r="G1899" s="8"/>
      <c r="H1899" s="8"/>
      <c r="I1899" s="8"/>
      <c r="J1899" s="8"/>
    </row>
    <row r="1900" spans="1:10" s="1" customFormat="1" ht="25.5" customHeight="1" x14ac:dyDescent="0.2">
      <c r="A1900" s="8"/>
      <c r="B1900" s="9" t="s">
        <v>625</v>
      </c>
      <c r="C1900" s="137" t="s">
        <v>626</v>
      </c>
      <c r="D1900" s="138"/>
      <c r="E1900" s="8"/>
      <c r="F1900" s="8"/>
      <c r="G1900" s="8"/>
      <c r="H1900" s="8"/>
      <c r="I1900" s="8"/>
      <c r="J1900" s="8"/>
    </row>
    <row r="1901" spans="1:10" s="1" customFormat="1" ht="25.5" customHeight="1" x14ac:dyDescent="0.2">
      <c r="A1901" s="10">
        <v>92688</v>
      </c>
      <c r="B1901" s="21">
        <v>42736</v>
      </c>
      <c r="C1901" s="139" t="s">
        <v>627</v>
      </c>
      <c r="D1901" s="140"/>
      <c r="E1901" s="11" t="s">
        <v>81</v>
      </c>
      <c r="F1901" s="12">
        <v>18</v>
      </c>
      <c r="G1901" s="12">
        <v>25.9</v>
      </c>
      <c r="H1901" s="12">
        <v>33.049999999999997</v>
      </c>
      <c r="I1901" s="13">
        <f>F1901*G1901</f>
        <v>466.2</v>
      </c>
      <c r="J1901" s="13">
        <f>F1901*H1901</f>
        <v>594.9</v>
      </c>
    </row>
    <row r="1902" spans="1:10" s="1" customFormat="1" ht="25.5" customHeight="1" x14ac:dyDescent="0.2">
      <c r="A1902" s="10">
        <v>97535</v>
      </c>
      <c r="B1902" s="21">
        <v>42737</v>
      </c>
      <c r="C1902" s="139" t="s">
        <v>628</v>
      </c>
      <c r="D1902" s="140"/>
      <c r="E1902" s="11" t="s">
        <v>81</v>
      </c>
      <c r="F1902" s="12">
        <v>24</v>
      </c>
      <c r="G1902" s="12">
        <v>32.049999999999997</v>
      </c>
      <c r="H1902" s="12">
        <v>40.89</v>
      </c>
      <c r="I1902" s="13">
        <f>F1902*G1902</f>
        <v>769.19999999999993</v>
      </c>
      <c r="J1902" s="13">
        <f>F1902*H1902</f>
        <v>981.36</v>
      </c>
    </row>
    <row r="1903" spans="1:10" s="1" customFormat="1" ht="25.5" customHeight="1" x14ac:dyDescent="0.2">
      <c r="A1903" s="10">
        <v>92653</v>
      </c>
      <c r="B1903" s="21">
        <v>42738</v>
      </c>
      <c r="C1903" s="139" t="s">
        <v>629</v>
      </c>
      <c r="D1903" s="140"/>
      <c r="E1903" s="11" t="s">
        <v>81</v>
      </c>
      <c r="F1903" s="12">
        <v>36</v>
      </c>
      <c r="G1903" s="12">
        <v>43.81</v>
      </c>
      <c r="H1903" s="12">
        <v>55.9</v>
      </c>
      <c r="I1903" s="13">
        <f>F1903*G1903</f>
        <v>1577.16</v>
      </c>
      <c r="J1903" s="13">
        <f>F1903*H1903</f>
        <v>2012.3999999999999</v>
      </c>
    </row>
    <row r="1904" spans="1:10" s="1" customFormat="1" ht="25.5" customHeight="1" x14ac:dyDescent="0.2">
      <c r="A1904" s="10">
        <v>92656</v>
      </c>
      <c r="B1904" s="21">
        <v>42739</v>
      </c>
      <c r="C1904" s="139" t="s">
        <v>630</v>
      </c>
      <c r="D1904" s="140"/>
      <c r="E1904" s="11" t="s">
        <v>81</v>
      </c>
      <c r="F1904" s="12">
        <v>12</v>
      </c>
      <c r="G1904" s="12">
        <v>79.11</v>
      </c>
      <c r="H1904" s="12">
        <v>100.94</v>
      </c>
      <c r="I1904" s="13">
        <f>F1904*G1904</f>
        <v>949.31999999999994</v>
      </c>
      <c r="J1904" s="13">
        <f>F1904*H1904</f>
        <v>1211.28</v>
      </c>
    </row>
    <row r="1905" spans="1:10" s="1" customFormat="1" ht="25.5" customHeight="1" x14ac:dyDescent="0.2">
      <c r="A1905" s="8"/>
      <c r="B1905" s="9" t="s">
        <v>631</v>
      </c>
      <c r="C1905" s="137" t="s">
        <v>632</v>
      </c>
      <c r="D1905" s="138"/>
      <c r="E1905" s="8"/>
      <c r="F1905" s="8"/>
      <c r="G1905" s="8"/>
      <c r="H1905" s="8"/>
      <c r="I1905" s="8"/>
      <c r="J1905" s="8"/>
    </row>
    <row r="1906" spans="1:10" s="1" customFormat="1" ht="25.5" customHeight="1" x14ac:dyDescent="0.2">
      <c r="A1906" s="10">
        <v>92939</v>
      </c>
      <c r="B1906" s="21">
        <v>42767</v>
      </c>
      <c r="C1906" s="139" t="s">
        <v>633</v>
      </c>
      <c r="D1906" s="140"/>
      <c r="E1906" s="11" t="s">
        <v>102</v>
      </c>
      <c r="F1906" s="12">
        <v>2</v>
      </c>
      <c r="G1906" s="12">
        <v>17.52</v>
      </c>
      <c r="H1906" s="12">
        <v>22.35</v>
      </c>
      <c r="I1906" s="13">
        <f>F1906*G1906</f>
        <v>35.04</v>
      </c>
      <c r="J1906" s="13">
        <f>F1906*H1906</f>
        <v>44.7</v>
      </c>
    </row>
    <row r="1907" spans="1:10" s="1" customFormat="1" ht="25.5" customHeight="1" x14ac:dyDescent="0.2">
      <c r="A1907" s="8"/>
      <c r="B1907" s="9" t="s">
        <v>634</v>
      </c>
      <c r="C1907" s="137" t="s">
        <v>635</v>
      </c>
      <c r="D1907" s="138"/>
      <c r="E1907" s="8"/>
      <c r="F1907" s="8"/>
      <c r="G1907" s="8"/>
      <c r="H1907" s="8"/>
      <c r="I1907" s="8"/>
      <c r="J1907" s="8"/>
    </row>
    <row r="1908" spans="1:10" s="1" customFormat="1" ht="25.5" customHeight="1" x14ac:dyDescent="0.2">
      <c r="A1908" s="10">
        <v>92701</v>
      </c>
      <c r="B1908" s="21">
        <v>42795</v>
      </c>
      <c r="C1908" s="139" t="s">
        <v>636</v>
      </c>
      <c r="D1908" s="140"/>
      <c r="E1908" s="11" t="s">
        <v>102</v>
      </c>
      <c r="F1908" s="12">
        <v>4</v>
      </c>
      <c r="G1908" s="12">
        <v>21.04</v>
      </c>
      <c r="H1908" s="12">
        <v>26.84</v>
      </c>
      <c r="I1908" s="13">
        <f>F1908*G1908</f>
        <v>84.16</v>
      </c>
      <c r="J1908" s="13">
        <f>F1908*H1908</f>
        <v>107.36</v>
      </c>
    </row>
    <row r="1909" spans="1:10" s="1" customFormat="1" ht="25.5" customHeight="1" x14ac:dyDescent="0.2">
      <c r="A1909" s="10">
        <v>92674</v>
      </c>
      <c r="B1909" s="21">
        <v>42796</v>
      </c>
      <c r="C1909" s="139" t="s">
        <v>637</v>
      </c>
      <c r="D1909" s="140"/>
      <c r="E1909" s="11" t="s">
        <v>102</v>
      </c>
      <c r="F1909" s="12">
        <v>4</v>
      </c>
      <c r="G1909" s="12">
        <v>34.25</v>
      </c>
      <c r="H1909" s="12">
        <v>43.7</v>
      </c>
      <c r="I1909" s="13">
        <f>F1909*G1909</f>
        <v>137</v>
      </c>
      <c r="J1909" s="13">
        <f>F1909*H1909</f>
        <v>174.8</v>
      </c>
    </row>
    <row r="1910" spans="1:10" s="1" customFormat="1" ht="25.5" customHeight="1" x14ac:dyDescent="0.2">
      <c r="A1910" s="10">
        <v>92703</v>
      </c>
      <c r="B1910" s="21">
        <v>42797</v>
      </c>
      <c r="C1910" s="139" t="s">
        <v>638</v>
      </c>
      <c r="D1910" s="140"/>
      <c r="E1910" s="11" t="s">
        <v>102</v>
      </c>
      <c r="F1910" s="12">
        <v>15</v>
      </c>
      <c r="G1910" s="12">
        <v>33.51</v>
      </c>
      <c r="H1910" s="12">
        <v>42.76</v>
      </c>
      <c r="I1910" s="13">
        <f>F1910*G1910</f>
        <v>502.65</v>
      </c>
      <c r="J1910" s="13">
        <f>F1910*H1910</f>
        <v>641.4</v>
      </c>
    </row>
    <row r="1911" spans="1:10" s="1" customFormat="1" ht="25.5" customHeight="1" x14ac:dyDescent="0.2">
      <c r="A1911" s="10">
        <v>92680</v>
      </c>
      <c r="B1911" s="21">
        <v>42798</v>
      </c>
      <c r="C1911" s="139" t="s">
        <v>639</v>
      </c>
      <c r="D1911" s="140"/>
      <c r="E1911" s="11" t="s">
        <v>102</v>
      </c>
      <c r="F1911" s="12">
        <v>8</v>
      </c>
      <c r="G1911" s="12">
        <v>87.03</v>
      </c>
      <c r="H1911" s="12">
        <v>111.04</v>
      </c>
      <c r="I1911" s="13">
        <f>F1911*G1911</f>
        <v>696.24</v>
      </c>
      <c r="J1911" s="13">
        <f>F1911*H1911</f>
        <v>888.32</v>
      </c>
    </row>
    <row r="1912" spans="1:10" s="1" customFormat="1" ht="25.5" customHeight="1" x14ac:dyDescent="0.2">
      <c r="A1912" s="8"/>
      <c r="B1912" s="9" t="s">
        <v>640</v>
      </c>
      <c r="C1912" s="137" t="s">
        <v>641</v>
      </c>
      <c r="D1912" s="138"/>
      <c r="E1912" s="8"/>
      <c r="F1912" s="8"/>
      <c r="G1912" s="8"/>
      <c r="H1912" s="8"/>
      <c r="I1912" s="8"/>
      <c r="J1912" s="8"/>
    </row>
    <row r="1913" spans="1:10" s="1" customFormat="1" ht="25.5" customHeight="1" x14ac:dyDescent="0.2">
      <c r="A1913" s="10">
        <v>92658</v>
      </c>
      <c r="B1913" s="21">
        <v>42826</v>
      </c>
      <c r="C1913" s="139" t="s">
        <v>642</v>
      </c>
      <c r="D1913" s="140"/>
      <c r="E1913" s="11" t="s">
        <v>102</v>
      </c>
      <c r="F1913" s="12">
        <v>1</v>
      </c>
      <c r="G1913" s="12">
        <v>17.47</v>
      </c>
      <c r="H1913" s="12">
        <v>22.29</v>
      </c>
      <c r="I1913" s="13">
        <f>F1913*G1913</f>
        <v>17.47</v>
      </c>
      <c r="J1913" s="13">
        <f>F1913*H1913</f>
        <v>22.29</v>
      </c>
    </row>
    <row r="1914" spans="1:10" s="1" customFormat="1" ht="25.5" customHeight="1" x14ac:dyDescent="0.2">
      <c r="A1914" s="10">
        <v>92662</v>
      </c>
      <c r="B1914" s="21">
        <v>42827</v>
      </c>
      <c r="C1914" s="139" t="s">
        <v>643</v>
      </c>
      <c r="D1914" s="140"/>
      <c r="E1914" s="11" t="s">
        <v>102</v>
      </c>
      <c r="F1914" s="12">
        <v>1</v>
      </c>
      <c r="G1914" s="12">
        <v>23.58</v>
      </c>
      <c r="H1914" s="12">
        <v>30.09</v>
      </c>
      <c r="I1914" s="13">
        <f>F1914*G1914</f>
        <v>23.58</v>
      </c>
      <c r="J1914" s="13">
        <f>F1914*H1914</f>
        <v>30.09</v>
      </c>
    </row>
    <row r="1915" spans="1:10" s="1" customFormat="1" ht="25.5" customHeight="1" x14ac:dyDescent="0.2">
      <c r="A1915" s="8"/>
      <c r="B1915" s="9" t="s">
        <v>644</v>
      </c>
      <c r="C1915" s="137" t="s">
        <v>450</v>
      </c>
      <c r="D1915" s="138"/>
      <c r="E1915" s="8"/>
      <c r="F1915" s="8"/>
      <c r="G1915" s="8"/>
      <c r="H1915" s="8"/>
      <c r="I1915" s="8"/>
      <c r="J1915" s="8"/>
    </row>
    <row r="1916" spans="1:10" s="1" customFormat="1" ht="25.5" customHeight="1" x14ac:dyDescent="0.2">
      <c r="A1916" s="10">
        <v>92683</v>
      </c>
      <c r="B1916" s="21">
        <v>42856</v>
      </c>
      <c r="C1916" s="139" t="s">
        <v>645</v>
      </c>
      <c r="D1916" s="140"/>
      <c r="E1916" s="11" t="s">
        <v>102</v>
      </c>
      <c r="F1916" s="12">
        <v>1</v>
      </c>
      <c r="G1916" s="12">
        <v>45.08</v>
      </c>
      <c r="H1916" s="12">
        <v>57.52</v>
      </c>
      <c r="I1916" s="13">
        <f>F1916*G1916</f>
        <v>45.08</v>
      </c>
      <c r="J1916" s="13">
        <f>F1916*H1916</f>
        <v>57.52</v>
      </c>
    </row>
    <row r="1917" spans="1:10" s="1" customFormat="1" ht="25.5" customHeight="1" x14ac:dyDescent="0.2">
      <c r="A1917" s="10">
        <v>92681</v>
      </c>
      <c r="B1917" s="21">
        <v>42857</v>
      </c>
      <c r="C1917" s="139" t="s">
        <v>646</v>
      </c>
      <c r="D1917" s="140"/>
      <c r="E1917" s="11" t="s">
        <v>102</v>
      </c>
      <c r="F1917" s="12">
        <v>2</v>
      </c>
      <c r="G1917" s="12">
        <v>32.270000000000003</v>
      </c>
      <c r="H1917" s="12">
        <v>41.17</v>
      </c>
      <c r="I1917" s="13">
        <f>F1917*G1917</f>
        <v>64.540000000000006</v>
      </c>
      <c r="J1917" s="13">
        <f>F1917*H1917</f>
        <v>82.34</v>
      </c>
    </row>
    <row r="1918" spans="1:10" s="1" customFormat="1" ht="25.5" customHeight="1" x14ac:dyDescent="0.2">
      <c r="A1918" s="11" t="s">
        <v>78</v>
      </c>
      <c r="B1918" s="21">
        <v>42858</v>
      </c>
      <c r="C1918" s="139" t="s">
        <v>647</v>
      </c>
      <c r="D1918" s="140"/>
      <c r="E1918" s="11" t="s">
        <v>102</v>
      </c>
      <c r="F1918" s="12">
        <v>1</v>
      </c>
      <c r="G1918" s="12">
        <v>32.92</v>
      </c>
      <c r="H1918" s="12">
        <v>42.01</v>
      </c>
      <c r="I1918" s="13">
        <f>F1918*G1918</f>
        <v>32.92</v>
      </c>
      <c r="J1918" s="13">
        <f>F1918*H1918</f>
        <v>42.01</v>
      </c>
    </row>
    <row r="1919" spans="1:10" s="1" customFormat="1" ht="25.5" customHeight="1" x14ac:dyDescent="0.2">
      <c r="A1919" s="8"/>
      <c r="B1919" s="9" t="s">
        <v>648</v>
      </c>
      <c r="C1919" s="137" t="s">
        <v>473</v>
      </c>
      <c r="D1919" s="138"/>
      <c r="E1919" s="8"/>
      <c r="F1919" s="8"/>
      <c r="G1919" s="8"/>
      <c r="H1919" s="8"/>
      <c r="I1919" s="8"/>
      <c r="J1919" s="8"/>
    </row>
    <row r="1920" spans="1:10" s="1" customFormat="1" ht="25.5" customHeight="1" x14ac:dyDescent="0.2">
      <c r="A1920" s="10">
        <v>92898</v>
      </c>
      <c r="B1920" s="21">
        <v>42887</v>
      </c>
      <c r="C1920" s="139" t="s">
        <v>649</v>
      </c>
      <c r="D1920" s="140"/>
      <c r="E1920" s="11" t="s">
        <v>102</v>
      </c>
      <c r="F1920" s="12">
        <v>4</v>
      </c>
      <c r="G1920" s="12">
        <v>27.29</v>
      </c>
      <c r="H1920" s="12">
        <v>34.82</v>
      </c>
      <c r="I1920" s="13">
        <f>F1920*G1920</f>
        <v>109.16</v>
      </c>
      <c r="J1920" s="13">
        <f>F1920*H1920</f>
        <v>139.28</v>
      </c>
    </row>
    <row r="1921" spans="1:10" s="1" customFormat="1" ht="25.5" customHeight="1" x14ac:dyDescent="0.2">
      <c r="A1921" s="10">
        <v>92900</v>
      </c>
      <c r="B1921" s="21">
        <v>42888</v>
      </c>
      <c r="C1921" s="139" t="s">
        <v>650</v>
      </c>
      <c r="D1921" s="140"/>
      <c r="E1921" s="11" t="s">
        <v>102</v>
      </c>
      <c r="F1921" s="12">
        <v>2</v>
      </c>
      <c r="G1921" s="12">
        <v>46.5</v>
      </c>
      <c r="H1921" s="12">
        <v>59.33</v>
      </c>
      <c r="I1921" s="13">
        <f>F1921*G1921</f>
        <v>93</v>
      </c>
      <c r="J1921" s="13">
        <f>F1921*H1921</f>
        <v>118.66</v>
      </c>
    </row>
    <row r="1922" spans="1:10" s="1" customFormat="1" ht="25.5" customHeight="1" x14ac:dyDescent="0.2">
      <c r="A1922" s="8"/>
      <c r="B1922" s="9" t="s">
        <v>651</v>
      </c>
      <c r="C1922" s="137" t="s">
        <v>652</v>
      </c>
      <c r="D1922" s="138"/>
      <c r="E1922" s="8"/>
      <c r="F1922" s="8"/>
      <c r="G1922" s="8"/>
      <c r="H1922" s="8"/>
      <c r="I1922" s="8"/>
      <c r="J1922" s="8"/>
    </row>
    <row r="1923" spans="1:10" s="1" customFormat="1" ht="25.5" customHeight="1" x14ac:dyDescent="0.2">
      <c r="A1923" s="11" t="s">
        <v>78</v>
      </c>
      <c r="B1923" s="21">
        <v>42917</v>
      </c>
      <c r="C1923" s="139" t="s">
        <v>653</v>
      </c>
      <c r="D1923" s="140"/>
      <c r="E1923" s="11" t="s">
        <v>102</v>
      </c>
      <c r="F1923" s="12">
        <v>2</v>
      </c>
      <c r="G1923" s="12">
        <v>20.03</v>
      </c>
      <c r="H1923" s="12">
        <v>25.55</v>
      </c>
      <c r="I1923" s="13">
        <f>F1923*G1923</f>
        <v>40.06</v>
      </c>
      <c r="J1923" s="13">
        <f>F1923*H1923</f>
        <v>51.1</v>
      </c>
    </row>
    <row r="1924" spans="1:10" s="1" customFormat="1" ht="25.5" customHeight="1" x14ac:dyDescent="0.2">
      <c r="A1924" s="8"/>
      <c r="B1924" s="149" t="s">
        <v>654</v>
      </c>
      <c r="C1924" s="150"/>
      <c r="D1924" s="150"/>
      <c r="E1924" s="150"/>
      <c r="F1924" s="150"/>
      <c r="G1924" s="151"/>
      <c r="H1924" s="8"/>
      <c r="I1924" s="14">
        <f>SUM(I1901:I1923)-0.01</f>
        <v>5642.7699999999995</v>
      </c>
      <c r="J1924" s="15">
        <f>SUM(J1901:J1923)-0.2</f>
        <v>7199.61</v>
      </c>
    </row>
    <row r="1925" spans="1:10" s="1" customFormat="1" ht="25.5" customHeight="1" x14ac:dyDescent="0.2">
      <c r="A1925" s="8"/>
      <c r="B1925" s="46"/>
      <c r="C1925" s="153"/>
      <c r="D1925" s="154"/>
      <c r="E1925" s="8"/>
      <c r="F1925" s="8"/>
      <c r="G1925" s="8"/>
      <c r="H1925" s="8"/>
      <c r="I1925" s="8"/>
      <c r="J1925" s="8"/>
    </row>
    <row r="1926" spans="1:10" s="1" customFormat="1" ht="25.5" customHeight="1" x14ac:dyDescent="0.2">
      <c r="A1926" s="8"/>
      <c r="B1926" s="9" t="s">
        <v>655</v>
      </c>
      <c r="C1926" s="137" t="s">
        <v>656</v>
      </c>
      <c r="D1926" s="138"/>
      <c r="E1926" s="8"/>
      <c r="F1926" s="8"/>
      <c r="G1926" s="8"/>
      <c r="H1926" s="8"/>
      <c r="I1926" s="8"/>
      <c r="J1926" s="8"/>
    </row>
    <row r="1927" spans="1:10" s="1" customFormat="1" ht="25.5" customHeight="1" x14ac:dyDescent="0.2">
      <c r="A1927" s="8"/>
      <c r="B1927" s="9" t="s">
        <v>657</v>
      </c>
      <c r="C1927" s="137" t="s">
        <v>626</v>
      </c>
      <c r="D1927" s="138"/>
      <c r="E1927" s="8"/>
      <c r="F1927" s="8"/>
      <c r="G1927" s="8"/>
      <c r="H1927" s="8"/>
      <c r="I1927" s="8"/>
      <c r="J1927" s="8"/>
    </row>
    <row r="1928" spans="1:10" s="1" customFormat="1" ht="25.5" customHeight="1" x14ac:dyDescent="0.2">
      <c r="A1928" s="11" t="s">
        <v>78</v>
      </c>
      <c r="B1928" s="21">
        <v>43101</v>
      </c>
      <c r="C1928" s="139" t="s">
        <v>658</v>
      </c>
      <c r="D1928" s="140"/>
      <c r="E1928" s="11" t="s">
        <v>81</v>
      </c>
      <c r="F1928" s="12">
        <v>15.5</v>
      </c>
      <c r="G1928" s="12">
        <v>15.13</v>
      </c>
      <c r="H1928" s="12">
        <v>19.3</v>
      </c>
      <c r="I1928" s="13">
        <f t="shared" ref="I1928:I1933" si="164">F1928*G1928</f>
        <v>234.51500000000001</v>
      </c>
      <c r="J1928" s="13">
        <f t="shared" ref="J1928:J1933" si="165">F1928*H1928</f>
        <v>299.15000000000003</v>
      </c>
    </row>
    <row r="1929" spans="1:10" s="1" customFormat="1" ht="25.5" customHeight="1" x14ac:dyDescent="0.2">
      <c r="A1929" s="11" t="s">
        <v>78</v>
      </c>
      <c r="B1929" s="21">
        <v>43102</v>
      </c>
      <c r="C1929" s="139" t="s">
        <v>659</v>
      </c>
      <c r="D1929" s="140"/>
      <c r="E1929" s="11" t="s">
        <v>81</v>
      </c>
      <c r="F1929" s="12">
        <v>127.6</v>
      </c>
      <c r="G1929" s="12">
        <v>29.08</v>
      </c>
      <c r="H1929" s="12">
        <v>37.1</v>
      </c>
      <c r="I1929" s="13">
        <f t="shared" si="164"/>
        <v>3710.6079999999997</v>
      </c>
      <c r="J1929" s="13">
        <f t="shared" si="165"/>
        <v>4733.96</v>
      </c>
    </row>
    <row r="1930" spans="1:10" s="1" customFormat="1" ht="25.5" customHeight="1" x14ac:dyDescent="0.2">
      <c r="A1930" s="11" t="s">
        <v>78</v>
      </c>
      <c r="B1930" s="21">
        <v>43103</v>
      </c>
      <c r="C1930" s="139" t="s">
        <v>660</v>
      </c>
      <c r="D1930" s="140"/>
      <c r="E1930" s="11" t="s">
        <v>81</v>
      </c>
      <c r="F1930" s="12">
        <v>18</v>
      </c>
      <c r="G1930" s="12">
        <v>25.97</v>
      </c>
      <c r="H1930" s="12">
        <v>33.14</v>
      </c>
      <c r="I1930" s="13">
        <f t="shared" si="164"/>
        <v>467.46</v>
      </c>
      <c r="J1930" s="13">
        <f t="shared" si="165"/>
        <v>596.52</v>
      </c>
    </row>
    <row r="1931" spans="1:10" s="1" customFormat="1" ht="25.5" customHeight="1" x14ac:dyDescent="0.2">
      <c r="A1931" s="11" t="s">
        <v>78</v>
      </c>
      <c r="B1931" s="21">
        <v>43104</v>
      </c>
      <c r="C1931" s="139" t="s">
        <v>661</v>
      </c>
      <c r="D1931" s="140"/>
      <c r="E1931" s="11" t="s">
        <v>81</v>
      </c>
      <c r="F1931" s="12">
        <v>28.7</v>
      </c>
      <c r="G1931" s="12">
        <v>39.630000000000003</v>
      </c>
      <c r="H1931" s="12">
        <v>50.56</v>
      </c>
      <c r="I1931" s="13">
        <f t="shared" si="164"/>
        <v>1137.3810000000001</v>
      </c>
      <c r="J1931" s="13">
        <f t="shared" si="165"/>
        <v>1451.0720000000001</v>
      </c>
    </row>
    <row r="1932" spans="1:10" s="1" customFormat="1" ht="25.5" customHeight="1" x14ac:dyDescent="0.2">
      <c r="A1932" s="11" t="s">
        <v>78</v>
      </c>
      <c r="B1932" s="21">
        <v>43105</v>
      </c>
      <c r="C1932" s="139" t="s">
        <v>662</v>
      </c>
      <c r="D1932" s="140"/>
      <c r="E1932" s="11" t="s">
        <v>81</v>
      </c>
      <c r="F1932" s="12">
        <v>34.9</v>
      </c>
      <c r="G1932" s="12">
        <v>65.430000000000007</v>
      </c>
      <c r="H1932" s="12">
        <v>83.48</v>
      </c>
      <c r="I1932" s="13">
        <f t="shared" si="164"/>
        <v>2283.5070000000001</v>
      </c>
      <c r="J1932" s="13">
        <f t="shared" si="165"/>
        <v>2913.4520000000002</v>
      </c>
    </row>
    <row r="1933" spans="1:10" s="1" customFormat="1" ht="25.5" customHeight="1" x14ac:dyDescent="0.2">
      <c r="A1933" s="11" t="s">
        <v>78</v>
      </c>
      <c r="B1933" s="21">
        <v>43106</v>
      </c>
      <c r="C1933" s="139" t="s">
        <v>663</v>
      </c>
      <c r="D1933" s="140"/>
      <c r="E1933" s="11" t="s">
        <v>81</v>
      </c>
      <c r="F1933" s="12">
        <v>13</v>
      </c>
      <c r="G1933" s="12">
        <v>103.37</v>
      </c>
      <c r="H1933" s="12">
        <v>131.88999999999999</v>
      </c>
      <c r="I1933" s="13">
        <f t="shared" si="164"/>
        <v>1343.81</v>
      </c>
      <c r="J1933" s="13">
        <f t="shared" si="165"/>
        <v>1714.5699999999997</v>
      </c>
    </row>
    <row r="1934" spans="1:10" s="1" customFormat="1" ht="25.5" customHeight="1" x14ac:dyDescent="0.2">
      <c r="A1934" s="8"/>
      <c r="B1934" s="9" t="s">
        <v>664</v>
      </c>
      <c r="C1934" s="137" t="s">
        <v>665</v>
      </c>
      <c r="D1934" s="138"/>
      <c r="E1934" s="8"/>
      <c r="F1934" s="8"/>
      <c r="G1934" s="8"/>
      <c r="H1934" s="8"/>
      <c r="I1934" s="8"/>
      <c r="J1934" s="8"/>
    </row>
    <row r="1935" spans="1:10" s="1" customFormat="1" ht="25.5" customHeight="1" x14ac:dyDescent="0.2">
      <c r="A1935" s="10">
        <v>89592</v>
      </c>
      <c r="B1935" s="21">
        <v>43132</v>
      </c>
      <c r="C1935" s="139" t="s">
        <v>666</v>
      </c>
      <c r="D1935" s="140"/>
      <c r="E1935" s="11" t="s">
        <v>102</v>
      </c>
      <c r="F1935" s="12">
        <v>11</v>
      </c>
      <c r="G1935" s="12">
        <v>231.71</v>
      </c>
      <c r="H1935" s="12">
        <v>295.63</v>
      </c>
      <c r="I1935" s="13">
        <f>F1935*G1935</f>
        <v>2548.81</v>
      </c>
      <c r="J1935" s="13">
        <f>F1935*H1935</f>
        <v>3251.93</v>
      </c>
    </row>
    <row r="1936" spans="1:10" s="1" customFormat="1" ht="25.5" customHeight="1" x14ac:dyDescent="0.2">
      <c r="A1936" s="10">
        <v>89587</v>
      </c>
      <c r="B1936" s="21">
        <v>43133</v>
      </c>
      <c r="C1936" s="139" t="s">
        <v>667</v>
      </c>
      <c r="D1936" s="140"/>
      <c r="E1936" s="11" t="s">
        <v>102</v>
      </c>
      <c r="F1936" s="12">
        <v>1</v>
      </c>
      <c r="G1936" s="12">
        <v>35.79</v>
      </c>
      <c r="H1936" s="12">
        <v>45.67</v>
      </c>
      <c r="I1936" s="13">
        <f>F1936*G1936</f>
        <v>35.79</v>
      </c>
      <c r="J1936" s="13">
        <f>F1936*H1936</f>
        <v>45.67</v>
      </c>
    </row>
    <row r="1937" spans="1:10" s="1" customFormat="1" ht="25.5" customHeight="1" x14ac:dyDescent="0.2">
      <c r="A1937" s="8"/>
      <c r="B1937" s="9" t="s">
        <v>668</v>
      </c>
      <c r="C1937" s="137" t="s">
        <v>635</v>
      </c>
      <c r="D1937" s="138"/>
      <c r="E1937" s="8"/>
      <c r="F1937" s="8"/>
      <c r="G1937" s="8"/>
      <c r="H1937" s="8"/>
      <c r="I1937" s="8"/>
      <c r="J1937" s="8"/>
    </row>
    <row r="1938" spans="1:10" s="1" customFormat="1" ht="25.5" customHeight="1" x14ac:dyDescent="0.2">
      <c r="A1938" s="10">
        <v>89591</v>
      </c>
      <c r="B1938" s="21">
        <v>43160</v>
      </c>
      <c r="C1938" s="139" t="s">
        <v>669</v>
      </c>
      <c r="D1938" s="140"/>
      <c r="E1938" s="11" t="s">
        <v>102</v>
      </c>
      <c r="F1938" s="12">
        <v>2</v>
      </c>
      <c r="G1938" s="12">
        <v>56.03</v>
      </c>
      <c r="H1938" s="12">
        <v>71.489999999999995</v>
      </c>
      <c r="I1938" s="13">
        <f>F1938*G1938</f>
        <v>112.06</v>
      </c>
      <c r="J1938" s="13">
        <f>F1938*H1938</f>
        <v>142.97999999999999</v>
      </c>
    </row>
    <row r="1939" spans="1:10" s="1" customFormat="1" ht="25.5" customHeight="1" x14ac:dyDescent="0.2">
      <c r="A1939" s="10">
        <v>89590</v>
      </c>
      <c r="B1939" s="21">
        <v>43161</v>
      </c>
      <c r="C1939" s="139" t="s">
        <v>670</v>
      </c>
      <c r="D1939" s="140"/>
      <c r="E1939" s="11" t="s">
        <v>102</v>
      </c>
      <c r="F1939" s="12">
        <v>2</v>
      </c>
      <c r="G1939" s="12">
        <v>68.44</v>
      </c>
      <c r="H1939" s="12">
        <v>87.32</v>
      </c>
      <c r="I1939" s="13">
        <f>F1939*G1939</f>
        <v>136.88</v>
      </c>
      <c r="J1939" s="13">
        <f>F1939*H1939</f>
        <v>174.64</v>
      </c>
    </row>
    <row r="1940" spans="1:10" s="1" customFormat="1" ht="25.5" customHeight="1" x14ac:dyDescent="0.2">
      <c r="A1940" s="8"/>
      <c r="B1940" s="9" t="s">
        <v>671</v>
      </c>
      <c r="C1940" s="137" t="s">
        <v>641</v>
      </c>
      <c r="D1940" s="138"/>
      <c r="E1940" s="8"/>
      <c r="F1940" s="8"/>
      <c r="G1940" s="8"/>
      <c r="H1940" s="8"/>
      <c r="I1940" s="8"/>
      <c r="J1940" s="8"/>
    </row>
    <row r="1941" spans="1:10" s="1" customFormat="1" ht="25.5" customHeight="1" x14ac:dyDescent="0.2">
      <c r="A1941" s="10">
        <v>89554</v>
      </c>
      <c r="B1941" s="21">
        <v>43191</v>
      </c>
      <c r="C1941" s="139" t="s">
        <v>672</v>
      </c>
      <c r="D1941" s="140"/>
      <c r="E1941" s="11" t="s">
        <v>102</v>
      </c>
      <c r="F1941" s="12">
        <v>2</v>
      </c>
      <c r="G1941" s="12">
        <v>12.67</v>
      </c>
      <c r="H1941" s="12">
        <v>16.170000000000002</v>
      </c>
      <c r="I1941" s="13">
        <f t="shared" ref="I1941:I1947" si="166">F1941*G1941</f>
        <v>25.34</v>
      </c>
      <c r="J1941" s="13">
        <f t="shared" ref="J1941:J1947" si="167">F1941*H1941</f>
        <v>32.340000000000003</v>
      </c>
    </row>
    <row r="1942" spans="1:10" s="1" customFormat="1" ht="25.5" customHeight="1" x14ac:dyDescent="0.2">
      <c r="A1942" s="10">
        <v>89677</v>
      </c>
      <c r="B1942" s="21">
        <v>43192</v>
      </c>
      <c r="C1942" s="139" t="s">
        <v>673</v>
      </c>
      <c r="D1942" s="140"/>
      <c r="E1942" s="11" t="s">
        <v>102</v>
      </c>
      <c r="F1942" s="12">
        <v>5</v>
      </c>
      <c r="G1942" s="12">
        <v>34.049999999999997</v>
      </c>
      <c r="H1942" s="12">
        <v>43.44</v>
      </c>
      <c r="I1942" s="13">
        <f t="shared" si="166"/>
        <v>170.25</v>
      </c>
      <c r="J1942" s="13">
        <f t="shared" si="167"/>
        <v>217.2</v>
      </c>
    </row>
    <row r="1943" spans="1:10" s="1" customFormat="1" ht="25.5" customHeight="1" x14ac:dyDescent="0.2">
      <c r="A1943" s="10">
        <v>3833</v>
      </c>
      <c r="B1943" s="21">
        <v>43193</v>
      </c>
      <c r="C1943" s="139" t="s">
        <v>674</v>
      </c>
      <c r="D1943" s="140"/>
      <c r="E1943" s="11" t="s">
        <v>102</v>
      </c>
      <c r="F1943" s="12">
        <v>1</v>
      </c>
      <c r="G1943" s="12">
        <v>8.4600000000000009</v>
      </c>
      <c r="H1943" s="12">
        <v>10.79</v>
      </c>
      <c r="I1943" s="13">
        <f t="shared" si="166"/>
        <v>8.4600000000000009</v>
      </c>
      <c r="J1943" s="13">
        <f t="shared" si="167"/>
        <v>10.79</v>
      </c>
    </row>
    <row r="1944" spans="1:10" s="1" customFormat="1" ht="25.5" customHeight="1" x14ac:dyDescent="0.2">
      <c r="A1944" s="10">
        <v>3835</v>
      </c>
      <c r="B1944" s="21">
        <v>43194</v>
      </c>
      <c r="C1944" s="139" t="s">
        <v>675</v>
      </c>
      <c r="D1944" s="140"/>
      <c r="E1944" s="11" t="s">
        <v>102</v>
      </c>
      <c r="F1944" s="12">
        <v>1</v>
      </c>
      <c r="G1944" s="12">
        <v>18.989999999999998</v>
      </c>
      <c r="H1944" s="12">
        <v>24.23</v>
      </c>
      <c r="I1944" s="13">
        <f t="shared" si="166"/>
        <v>18.989999999999998</v>
      </c>
      <c r="J1944" s="13">
        <f t="shared" si="167"/>
        <v>24.23</v>
      </c>
    </row>
    <row r="1945" spans="1:10" s="1" customFormat="1" ht="25.5" customHeight="1" x14ac:dyDescent="0.2">
      <c r="A1945" s="10">
        <v>3836</v>
      </c>
      <c r="B1945" s="21">
        <v>43195</v>
      </c>
      <c r="C1945" s="139" t="s">
        <v>676</v>
      </c>
      <c r="D1945" s="140"/>
      <c r="E1945" s="11" t="s">
        <v>102</v>
      </c>
      <c r="F1945" s="12">
        <v>3</v>
      </c>
      <c r="G1945" s="12">
        <v>49.1</v>
      </c>
      <c r="H1945" s="12">
        <v>62.65</v>
      </c>
      <c r="I1945" s="13">
        <f t="shared" si="166"/>
        <v>147.30000000000001</v>
      </c>
      <c r="J1945" s="13">
        <f t="shared" si="167"/>
        <v>187.95</v>
      </c>
    </row>
    <row r="1946" spans="1:10" s="1" customFormat="1" ht="25.5" customHeight="1" x14ac:dyDescent="0.2">
      <c r="A1946" s="10">
        <v>3830</v>
      </c>
      <c r="B1946" s="21">
        <v>43196</v>
      </c>
      <c r="C1946" s="139" t="s">
        <v>677</v>
      </c>
      <c r="D1946" s="140"/>
      <c r="E1946" s="11" t="s">
        <v>102</v>
      </c>
      <c r="F1946" s="12">
        <v>2</v>
      </c>
      <c r="G1946" s="12">
        <v>80.83</v>
      </c>
      <c r="H1946" s="12">
        <v>103.13</v>
      </c>
      <c r="I1946" s="13">
        <f t="shared" si="166"/>
        <v>161.66</v>
      </c>
      <c r="J1946" s="13">
        <f t="shared" si="167"/>
        <v>206.26</v>
      </c>
    </row>
    <row r="1947" spans="1:10" s="1" customFormat="1" ht="25.5" customHeight="1" x14ac:dyDescent="0.2">
      <c r="A1947" s="10">
        <v>3831</v>
      </c>
      <c r="B1947" s="21">
        <v>43197</v>
      </c>
      <c r="C1947" s="139" t="s">
        <v>678</v>
      </c>
      <c r="D1947" s="140"/>
      <c r="E1947" s="11" t="s">
        <v>102</v>
      </c>
      <c r="F1947" s="12">
        <v>1</v>
      </c>
      <c r="G1947" s="12">
        <v>125.22</v>
      </c>
      <c r="H1947" s="12">
        <v>159.77000000000001</v>
      </c>
      <c r="I1947" s="13">
        <f t="shared" si="166"/>
        <v>125.22</v>
      </c>
      <c r="J1947" s="13">
        <f t="shared" si="167"/>
        <v>159.77000000000001</v>
      </c>
    </row>
    <row r="1948" spans="1:10" s="1" customFormat="1" ht="25.5" customHeight="1" x14ac:dyDescent="0.2">
      <c r="A1948" s="8"/>
      <c r="B1948" s="9" t="s">
        <v>679</v>
      </c>
      <c r="C1948" s="137" t="s">
        <v>680</v>
      </c>
      <c r="D1948" s="138"/>
      <c r="E1948" s="8"/>
      <c r="F1948" s="8"/>
      <c r="G1948" s="8"/>
      <c r="H1948" s="8"/>
      <c r="I1948" s="8"/>
      <c r="J1948" s="8"/>
    </row>
    <row r="1949" spans="1:10" s="1" customFormat="1" ht="25.5" customHeight="1" x14ac:dyDescent="0.2">
      <c r="A1949" s="10">
        <v>38448</v>
      </c>
      <c r="B1949" s="21">
        <v>43221</v>
      </c>
      <c r="C1949" s="139" t="s">
        <v>681</v>
      </c>
      <c r="D1949" s="140"/>
      <c r="E1949" s="11" t="s">
        <v>102</v>
      </c>
      <c r="F1949" s="12">
        <v>11</v>
      </c>
      <c r="G1949" s="12">
        <v>149.65</v>
      </c>
      <c r="H1949" s="12">
        <v>190.94</v>
      </c>
      <c r="I1949" s="13">
        <f>F1949*G1949</f>
        <v>1646.15</v>
      </c>
      <c r="J1949" s="13">
        <f>F1949*H1949</f>
        <v>2100.34</v>
      </c>
    </row>
    <row r="1950" spans="1:10" s="1" customFormat="1" ht="25.5" customHeight="1" x14ac:dyDescent="0.2">
      <c r="A1950" s="10">
        <v>20183</v>
      </c>
      <c r="B1950" s="21">
        <v>43222</v>
      </c>
      <c r="C1950" s="139" t="s">
        <v>682</v>
      </c>
      <c r="D1950" s="140"/>
      <c r="E1950" s="11" t="s">
        <v>102</v>
      </c>
      <c r="F1950" s="12">
        <v>1</v>
      </c>
      <c r="G1950" s="12">
        <v>28.2</v>
      </c>
      <c r="H1950" s="12">
        <v>35.979999999999997</v>
      </c>
      <c r="I1950" s="13">
        <f>F1950*G1950</f>
        <v>28.2</v>
      </c>
      <c r="J1950" s="13">
        <f>F1950*H1950</f>
        <v>35.979999999999997</v>
      </c>
    </row>
    <row r="1951" spans="1:10" s="1" customFormat="1" ht="25.5" customHeight="1" x14ac:dyDescent="0.2">
      <c r="A1951" s="8"/>
      <c r="B1951" s="149" t="s">
        <v>683</v>
      </c>
      <c r="C1951" s="150"/>
      <c r="D1951" s="150"/>
      <c r="E1951" s="150"/>
      <c r="F1951" s="150"/>
      <c r="G1951" s="151"/>
      <c r="H1951" s="8"/>
      <c r="I1951" s="14">
        <f>SUM(I1928:I1950)-0.25</f>
        <v>14342.140999999996</v>
      </c>
      <c r="J1951" s="15">
        <f>SUM(J1928:J1950)</f>
        <v>18298.804</v>
      </c>
    </row>
    <row r="1952" spans="1:10" s="1" customFormat="1" ht="25.5" customHeight="1" x14ac:dyDescent="0.2">
      <c r="A1952" s="8"/>
      <c r="B1952" s="43">
        <v>19</v>
      </c>
      <c r="C1952" s="137" t="s">
        <v>684</v>
      </c>
      <c r="D1952" s="138"/>
      <c r="E1952" s="8"/>
      <c r="F1952" s="8"/>
      <c r="G1952" s="8"/>
      <c r="H1952" s="8"/>
      <c r="I1952" s="8"/>
      <c r="J1952" s="8"/>
    </row>
    <row r="1953" spans="1:10" s="1" customFormat="1" ht="25.5" customHeight="1" x14ac:dyDescent="0.2">
      <c r="A1953" s="8"/>
      <c r="B1953" s="9" t="s">
        <v>685</v>
      </c>
      <c r="C1953" s="137" t="s">
        <v>686</v>
      </c>
      <c r="D1953" s="138"/>
      <c r="E1953" s="8"/>
      <c r="F1953" s="8"/>
      <c r="G1953" s="8"/>
      <c r="H1953" s="8"/>
      <c r="I1953" s="8"/>
      <c r="J1953" s="8"/>
    </row>
    <row r="1954" spans="1:10" s="1" customFormat="1" ht="25.5" customHeight="1" x14ac:dyDescent="0.2">
      <c r="A1954" s="11" t="s">
        <v>687</v>
      </c>
      <c r="B1954" s="21">
        <v>43466</v>
      </c>
      <c r="C1954" s="139" t="s">
        <v>688</v>
      </c>
      <c r="D1954" s="140"/>
      <c r="E1954" s="11" t="s">
        <v>102</v>
      </c>
      <c r="F1954" s="12">
        <v>11</v>
      </c>
      <c r="G1954" s="12">
        <v>45.06</v>
      </c>
      <c r="H1954" s="12">
        <v>57.5</v>
      </c>
      <c r="I1954" s="13">
        <f>F1954*G1954</f>
        <v>495.66</v>
      </c>
      <c r="J1954" s="13">
        <f>F1954*H1954</f>
        <v>632.5</v>
      </c>
    </row>
    <row r="1955" spans="1:10" s="1" customFormat="1" ht="25.5" customHeight="1" x14ac:dyDescent="0.2">
      <c r="A1955" s="11" t="s">
        <v>689</v>
      </c>
      <c r="B1955" s="21">
        <v>43467</v>
      </c>
      <c r="C1955" s="139" t="s">
        <v>690</v>
      </c>
      <c r="D1955" s="140"/>
      <c r="E1955" s="11" t="s">
        <v>102</v>
      </c>
      <c r="F1955" s="12">
        <v>1</v>
      </c>
      <c r="G1955" s="12">
        <v>26.35</v>
      </c>
      <c r="H1955" s="12">
        <v>33.619999999999997</v>
      </c>
      <c r="I1955" s="13">
        <f>F1955*G1955</f>
        <v>26.35</v>
      </c>
      <c r="J1955" s="13">
        <f>F1955*H1955</f>
        <v>33.619999999999997</v>
      </c>
    </row>
    <row r="1956" spans="1:10" s="1" customFormat="1" ht="25.5" customHeight="1" x14ac:dyDescent="0.2">
      <c r="A1956" s="8"/>
      <c r="B1956" s="9" t="s">
        <v>691</v>
      </c>
      <c r="C1956" s="137" t="s">
        <v>692</v>
      </c>
      <c r="D1956" s="138"/>
      <c r="E1956" s="8"/>
      <c r="F1956" s="8"/>
      <c r="G1956" s="8"/>
      <c r="H1956" s="8"/>
      <c r="I1956" s="8"/>
      <c r="J1956" s="8"/>
    </row>
    <row r="1957" spans="1:10" s="1" customFormat="1" ht="25.5" customHeight="1" x14ac:dyDescent="0.2">
      <c r="A1957" s="11" t="s">
        <v>693</v>
      </c>
      <c r="B1957" s="21">
        <v>43497</v>
      </c>
      <c r="C1957" s="139" t="s">
        <v>694</v>
      </c>
      <c r="D1957" s="140"/>
      <c r="E1957" s="11" t="s">
        <v>102</v>
      </c>
      <c r="F1957" s="12">
        <v>9</v>
      </c>
      <c r="G1957" s="12">
        <v>226.16</v>
      </c>
      <c r="H1957" s="12">
        <v>288.56</v>
      </c>
      <c r="I1957" s="13">
        <f>F1957*G1957</f>
        <v>2035.44</v>
      </c>
      <c r="J1957" s="13">
        <f>F1957*H1957</f>
        <v>2597.04</v>
      </c>
    </row>
    <row r="1958" spans="1:10" s="1" customFormat="1" ht="25.5" customHeight="1" x14ac:dyDescent="0.2">
      <c r="A1958" s="10">
        <v>6171</v>
      </c>
      <c r="B1958" s="21">
        <v>43498</v>
      </c>
      <c r="C1958" s="139" t="s">
        <v>695</v>
      </c>
      <c r="D1958" s="140"/>
      <c r="E1958" s="11" t="s">
        <v>102</v>
      </c>
      <c r="F1958" s="12">
        <v>9</v>
      </c>
      <c r="G1958" s="12">
        <v>21.74</v>
      </c>
      <c r="H1958" s="12">
        <v>27.74</v>
      </c>
      <c r="I1958" s="13">
        <f>F1958*G1958</f>
        <v>195.66</v>
      </c>
      <c r="J1958" s="13">
        <f>F1958*H1958</f>
        <v>249.66</v>
      </c>
    </row>
    <row r="1959" spans="1:10" s="1" customFormat="1" ht="25.5" customHeight="1" x14ac:dyDescent="0.2">
      <c r="A1959" s="11" t="s">
        <v>696</v>
      </c>
      <c r="B1959" s="21">
        <v>43499</v>
      </c>
      <c r="C1959" s="139" t="s">
        <v>697</v>
      </c>
      <c r="D1959" s="140"/>
      <c r="E1959" s="11" t="s">
        <v>102</v>
      </c>
      <c r="F1959" s="12">
        <v>5</v>
      </c>
      <c r="G1959" s="12">
        <v>165.35</v>
      </c>
      <c r="H1959" s="12">
        <v>210.97</v>
      </c>
      <c r="I1959" s="13">
        <f>F1959*G1959</f>
        <v>826.75</v>
      </c>
      <c r="J1959" s="13">
        <f>F1959*H1959</f>
        <v>1054.8499999999999</v>
      </c>
    </row>
    <row r="1960" spans="1:10" s="1" customFormat="1" ht="25.5" customHeight="1" x14ac:dyDescent="0.2">
      <c r="A1960" s="11" t="s">
        <v>698</v>
      </c>
      <c r="B1960" s="21">
        <v>43500</v>
      </c>
      <c r="C1960" s="139" t="s">
        <v>699</v>
      </c>
      <c r="D1960" s="140"/>
      <c r="E1960" s="11" t="s">
        <v>102</v>
      </c>
      <c r="F1960" s="12">
        <v>5</v>
      </c>
      <c r="G1960" s="12">
        <v>112.26</v>
      </c>
      <c r="H1960" s="12">
        <v>143.22999999999999</v>
      </c>
      <c r="I1960" s="13">
        <f>F1960*G1960</f>
        <v>561.30000000000007</v>
      </c>
      <c r="J1960" s="13">
        <f>F1960*H1960</f>
        <v>716.15</v>
      </c>
    </row>
    <row r="1961" spans="1:10" s="1" customFormat="1" ht="25.5" customHeight="1" x14ac:dyDescent="0.2">
      <c r="A1961" s="11" t="s">
        <v>700</v>
      </c>
      <c r="B1961" s="21">
        <v>43501</v>
      </c>
      <c r="C1961" s="139" t="s">
        <v>701</v>
      </c>
      <c r="D1961" s="140"/>
      <c r="E1961" s="11" t="s">
        <v>102</v>
      </c>
      <c r="F1961" s="12">
        <v>2</v>
      </c>
      <c r="G1961" s="12">
        <v>171</v>
      </c>
      <c r="H1961" s="12">
        <v>218.18</v>
      </c>
      <c r="I1961" s="13">
        <f>F1961*G1961</f>
        <v>342</v>
      </c>
      <c r="J1961" s="13">
        <f>F1961*H1961</f>
        <v>436.36</v>
      </c>
    </row>
    <row r="1962" spans="1:10" s="1" customFormat="1" ht="25.5" customHeight="1" x14ac:dyDescent="0.2">
      <c r="A1962" s="8"/>
      <c r="B1962" s="9" t="s">
        <v>702</v>
      </c>
      <c r="C1962" s="137" t="s">
        <v>703</v>
      </c>
      <c r="D1962" s="138"/>
      <c r="E1962" s="8"/>
      <c r="F1962" s="8"/>
      <c r="G1962" s="8"/>
      <c r="H1962" s="8"/>
      <c r="I1962" s="8"/>
      <c r="J1962" s="8"/>
    </row>
    <row r="1963" spans="1:10" s="1" customFormat="1" ht="25.5" customHeight="1" x14ac:dyDescent="0.2">
      <c r="A1963" s="11" t="s">
        <v>704</v>
      </c>
      <c r="B1963" s="21">
        <v>43525</v>
      </c>
      <c r="C1963" s="139" t="s">
        <v>705</v>
      </c>
      <c r="D1963" s="140"/>
      <c r="E1963" s="11" t="s">
        <v>102</v>
      </c>
      <c r="F1963" s="12">
        <v>1</v>
      </c>
      <c r="G1963" s="13">
        <v>1880.53</v>
      </c>
      <c r="H1963" s="13">
        <v>2399.37</v>
      </c>
      <c r="I1963" s="13">
        <f>F1963*G1963</f>
        <v>1880.53</v>
      </c>
      <c r="J1963" s="13">
        <f>F1963*H1963</f>
        <v>2399.37</v>
      </c>
    </row>
    <row r="1964" spans="1:10" s="1" customFormat="1" ht="25.5" customHeight="1" x14ac:dyDescent="0.2">
      <c r="A1964" s="10">
        <v>6171</v>
      </c>
      <c r="B1964" s="21">
        <v>43526</v>
      </c>
      <c r="C1964" s="139" t="s">
        <v>706</v>
      </c>
      <c r="D1964" s="140"/>
      <c r="E1964" s="11" t="s">
        <v>102</v>
      </c>
      <c r="F1964" s="12">
        <v>1</v>
      </c>
      <c r="G1964" s="12">
        <v>21.74</v>
      </c>
      <c r="H1964" s="12">
        <v>27.74</v>
      </c>
      <c r="I1964" s="13">
        <f>F1964*G1964</f>
        <v>21.74</v>
      </c>
      <c r="J1964" s="13">
        <f>F1964*H1964</f>
        <v>27.74</v>
      </c>
    </row>
    <row r="1965" spans="1:10" s="1" customFormat="1" ht="25.5" customHeight="1" x14ac:dyDescent="0.2">
      <c r="A1965" s="8"/>
      <c r="B1965" s="9" t="s">
        <v>707</v>
      </c>
      <c r="C1965" s="137" t="s">
        <v>708</v>
      </c>
      <c r="D1965" s="138"/>
      <c r="E1965" s="8"/>
      <c r="F1965" s="8"/>
      <c r="G1965" s="8"/>
      <c r="H1965" s="8"/>
      <c r="I1965" s="8"/>
      <c r="J1965" s="8"/>
    </row>
    <row r="1966" spans="1:10" s="1" customFormat="1" ht="25.5" customHeight="1" x14ac:dyDescent="0.2">
      <c r="A1966" s="10">
        <v>1332</v>
      </c>
      <c r="B1966" s="21">
        <v>43556</v>
      </c>
      <c r="C1966" s="139" t="s">
        <v>709</v>
      </c>
      <c r="D1966" s="140"/>
      <c r="E1966" s="11" t="s">
        <v>102</v>
      </c>
      <c r="F1966" s="12">
        <v>5</v>
      </c>
      <c r="G1966" s="12">
        <v>7.59</v>
      </c>
      <c r="H1966" s="12">
        <v>9.68</v>
      </c>
      <c r="I1966" s="13">
        <f>F1966*G1966</f>
        <v>37.950000000000003</v>
      </c>
      <c r="J1966" s="13">
        <f>F1966*H1966</f>
        <v>48.4</v>
      </c>
    </row>
    <row r="1967" spans="1:10" s="1" customFormat="1" ht="25.5" customHeight="1" x14ac:dyDescent="0.2">
      <c r="A1967" s="8"/>
      <c r="B1967" s="9" t="s">
        <v>710</v>
      </c>
      <c r="C1967" s="137" t="s">
        <v>711</v>
      </c>
      <c r="D1967" s="138"/>
      <c r="E1967" s="8"/>
      <c r="F1967" s="8"/>
      <c r="G1967" s="8"/>
      <c r="H1967" s="8"/>
      <c r="I1967" s="8"/>
      <c r="J1967" s="8"/>
    </row>
    <row r="1968" spans="1:10" s="1" customFormat="1" ht="25.5" customHeight="1" x14ac:dyDescent="0.2">
      <c r="A1968" s="11" t="s">
        <v>712</v>
      </c>
      <c r="B1968" s="21">
        <v>43586</v>
      </c>
      <c r="C1968" s="139" t="s">
        <v>713</v>
      </c>
      <c r="D1968" s="140"/>
      <c r="E1968" s="11" t="s">
        <v>81</v>
      </c>
      <c r="F1968" s="12">
        <v>8</v>
      </c>
      <c r="G1968" s="12">
        <v>267.89</v>
      </c>
      <c r="H1968" s="12">
        <v>341.81</v>
      </c>
      <c r="I1968" s="13">
        <f>F1968*G1968</f>
        <v>2143.12</v>
      </c>
      <c r="J1968" s="13">
        <f>F1968*H1968</f>
        <v>2734.48</v>
      </c>
    </row>
    <row r="1969" spans="1:10" s="1" customFormat="1" ht="25.5" customHeight="1" x14ac:dyDescent="0.2">
      <c r="A1969" s="11" t="s">
        <v>714</v>
      </c>
      <c r="B1969" s="21">
        <v>43587</v>
      </c>
      <c r="C1969" s="139" t="s">
        <v>715</v>
      </c>
      <c r="D1969" s="140"/>
      <c r="E1969" s="11" t="s">
        <v>81</v>
      </c>
      <c r="F1969" s="12">
        <v>2</v>
      </c>
      <c r="G1969" s="12">
        <v>57.59</v>
      </c>
      <c r="H1969" s="12">
        <v>73.48</v>
      </c>
      <c r="I1969" s="13">
        <f>F1969*G1969</f>
        <v>115.18</v>
      </c>
      <c r="J1969" s="13">
        <f>F1969*H1969</f>
        <v>146.96</v>
      </c>
    </row>
    <row r="1970" spans="1:10" s="1" customFormat="1" ht="25.5" customHeight="1" x14ac:dyDescent="0.2">
      <c r="A1970" s="8"/>
      <c r="B1970" s="149" t="s">
        <v>716</v>
      </c>
      <c r="C1970" s="150"/>
      <c r="D1970" s="150"/>
      <c r="E1970" s="150"/>
      <c r="F1970" s="150"/>
      <c r="G1970" s="151"/>
      <c r="H1970" s="8"/>
      <c r="I1970" s="14">
        <f>SUM(I1954:I1969)</f>
        <v>8681.68</v>
      </c>
      <c r="J1970" s="15">
        <f>SUM(J1954:J1969)-0.1</f>
        <v>11077.029999999997</v>
      </c>
    </row>
    <row r="1971" spans="1:10" s="1" customFormat="1" ht="25.5" customHeight="1" x14ac:dyDescent="0.2">
      <c r="A1971" s="8"/>
      <c r="B1971" s="9" t="s">
        <v>717</v>
      </c>
      <c r="C1971" s="137" t="s">
        <v>718</v>
      </c>
      <c r="D1971" s="138"/>
      <c r="E1971" s="8"/>
      <c r="F1971" s="8"/>
      <c r="G1971" s="8"/>
      <c r="H1971" s="8"/>
      <c r="I1971" s="8"/>
      <c r="J1971" s="8"/>
    </row>
    <row r="1972" spans="1:10" s="1" customFormat="1" ht="25.5" customHeight="1" x14ac:dyDescent="0.2">
      <c r="A1972" s="8"/>
      <c r="B1972" s="9" t="s">
        <v>719</v>
      </c>
      <c r="C1972" s="137" t="s">
        <v>626</v>
      </c>
      <c r="D1972" s="138"/>
      <c r="E1972" s="8"/>
      <c r="F1972" s="8"/>
      <c r="G1972" s="8"/>
      <c r="H1972" s="8"/>
      <c r="I1972" s="8"/>
      <c r="J1972" s="8"/>
    </row>
    <row r="1973" spans="1:10" s="1" customFormat="1" ht="25.5" customHeight="1" x14ac:dyDescent="0.2">
      <c r="A1973" s="10">
        <v>89580</v>
      </c>
      <c r="B1973" s="21">
        <v>43831</v>
      </c>
      <c r="C1973" s="139" t="s">
        <v>720</v>
      </c>
      <c r="D1973" s="140"/>
      <c r="E1973" s="11" t="s">
        <v>81</v>
      </c>
      <c r="F1973" s="12">
        <v>204</v>
      </c>
      <c r="G1973" s="12">
        <v>38.24</v>
      </c>
      <c r="H1973" s="12">
        <v>48.79</v>
      </c>
      <c r="I1973" s="13">
        <f>F1973*G1973</f>
        <v>7800.96</v>
      </c>
      <c r="J1973" s="13">
        <f>F1973*H1973</f>
        <v>9953.16</v>
      </c>
    </row>
    <row r="1974" spans="1:10" s="1" customFormat="1" ht="25.5" customHeight="1" x14ac:dyDescent="0.2">
      <c r="A1974" s="11" t="s">
        <v>721</v>
      </c>
      <c r="B1974" s="21">
        <v>43832</v>
      </c>
      <c r="C1974" s="139" t="s">
        <v>722</v>
      </c>
      <c r="D1974" s="140"/>
      <c r="E1974" s="11" t="s">
        <v>81</v>
      </c>
      <c r="F1974" s="12">
        <v>108</v>
      </c>
      <c r="G1974" s="12">
        <v>31.84</v>
      </c>
      <c r="H1974" s="12">
        <v>40.619999999999997</v>
      </c>
      <c r="I1974" s="13">
        <f>F1974*G1974</f>
        <v>3438.72</v>
      </c>
      <c r="J1974" s="13">
        <f>F1974*H1974</f>
        <v>4386.96</v>
      </c>
    </row>
    <row r="1975" spans="1:10" s="1" customFormat="1" ht="25.5" customHeight="1" x14ac:dyDescent="0.2">
      <c r="A1975" s="10">
        <v>89511</v>
      </c>
      <c r="B1975" s="21">
        <v>43833</v>
      </c>
      <c r="C1975" s="139" t="s">
        <v>723</v>
      </c>
      <c r="D1975" s="140"/>
      <c r="E1975" s="11" t="s">
        <v>81</v>
      </c>
      <c r="F1975" s="12">
        <v>120</v>
      </c>
      <c r="G1975" s="12">
        <v>24.3</v>
      </c>
      <c r="H1975" s="12">
        <v>31</v>
      </c>
      <c r="I1975" s="13">
        <f>F1975*G1975</f>
        <v>2916</v>
      </c>
      <c r="J1975" s="13">
        <f>F1975*H1975</f>
        <v>3720</v>
      </c>
    </row>
    <row r="1976" spans="1:10" s="1" customFormat="1" ht="25.5" customHeight="1" x14ac:dyDescent="0.2">
      <c r="A1976" s="10">
        <v>89509</v>
      </c>
      <c r="B1976" s="21">
        <v>43834</v>
      </c>
      <c r="C1976" s="139" t="s">
        <v>724</v>
      </c>
      <c r="D1976" s="140"/>
      <c r="E1976" s="11" t="s">
        <v>81</v>
      </c>
      <c r="F1976" s="12">
        <v>210</v>
      </c>
      <c r="G1976" s="12">
        <v>16.3</v>
      </c>
      <c r="H1976" s="12">
        <v>20.8</v>
      </c>
      <c r="I1976" s="13">
        <f>F1976*G1976</f>
        <v>3423</v>
      </c>
      <c r="J1976" s="13">
        <f>F1976*H1976</f>
        <v>4368</v>
      </c>
    </row>
    <row r="1977" spans="1:10" s="1" customFormat="1" ht="25.5" customHeight="1" x14ac:dyDescent="0.2">
      <c r="A1977" s="10">
        <v>89508</v>
      </c>
      <c r="B1977" s="21">
        <v>43835</v>
      </c>
      <c r="C1977" s="139" t="s">
        <v>725</v>
      </c>
      <c r="D1977" s="140"/>
      <c r="E1977" s="11" t="s">
        <v>81</v>
      </c>
      <c r="F1977" s="12">
        <v>102</v>
      </c>
      <c r="G1977" s="12">
        <v>11.22</v>
      </c>
      <c r="H1977" s="12">
        <v>14.32</v>
      </c>
      <c r="I1977" s="13">
        <f>F1977*G1977</f>
        <v>1144.44</v>
      </c>
      <c r="J1977" s="13">
        <f>F1977*H1977</f>
        <v>1460.64</v>
      </c>
    </row>
    <row r="1978" spans="1:10" s="1" customFormat="1" ht="25.5" customHeight="1" x14ac:dyDescent="0.2">
      <c r="A1978" s="8"/>
      <c r="B1978" s="9" t="s">
        <v>726</v>
      </c>
      <c r="C1978" s="137" t="s">
        <v>727</v>
      </c>
      <c r="D1978" s="138"/>
      <c r="E1978" s="8"/>
      <c r="F1978" s="8"/>
      <c r="G1978" s="8"/>
      <c r="H1978" s="8"/>
      <c r="I1978" s="8"/>
      <c r="J1978" s="8"/>
    </row>
    <row r="1979" spans="1:10" s="1" customFormat="1" ht="25.5" customHeight="1" x14ac:dyDescent="0.2">
      <c r="A1979" s="11" t="s">
        <v>728</v>
      </c>
      <c r="B1979" s="21">
        <v>43862</v>
      </c>
      <c r="C1979" s="139" t="s">
        <v>729</v>
      </c>
      <c r="D1979" s="140"/>
      <c r="E1979" s="11" t="s">
        <v>102</v>
      </c>
      <c r="F1979" s="12">
        <v>2</v>
      </c>
      <c r="G1979" s="12">
        <v>11.18</v>
      </c>
      <c r="H1979" s="12">
        <v>14.26</v>
      </c>
      <c r="I1979" s="13">
        <f>F1979*G1979</f>
        <v>22.36</v>
      </c>
      <c r="J1979" s="13">
        <f>F1979*H1979</f>
        <v>28.52</v>
      </c>
    </row>
    <row r="1980" spans="1:10" s="1" customFormat="1" ht="25.5" customHeight="1" x14ac:dyDescent="0.2">
      <c r="A1980" s="8"/>
      <c r="B1980" s="9" t="s">
        <v>730</v>
      </c>
      <c r="C1980" s="137" t="s">
        <v>635</v>
      </c>
      <c r="D1980" s="138"/>
      <c r="E1980" s="8"/>
      <c r="F1980" s="8"/>
      <c r="G1980" s="8"/>
      <c r="H1980" s="8"/>
      <c r="I1980" s="8"/>
      <c r="J1980" s="12"/>
    </row>
    <row r="1981" spans="1:10" s="1" customFormat="1" ht="25.5" customHeight="1" x14ac:dyDescent="0.2">
      <c r="A1981" s="10">
        <v>20151</v>
      </c>
      <c r="B1981" s="21">
        <v>43891</v>
      </c>
      <c r="C1981" s="139" t="s">
        <v>731</v>
      </c>
      <c r="D1981" s="140"/>
      <c r="E1981" s="11" t="s">
        <v>102</v>
      </c>
      <c r="F1981" s="12">
        <v>11</v>
      </c>
      <c r="G1981" s="12">
        <v>15.18</v>
      </c>
      <c r="H1981" s="12">
        <v>19.37</v>
      </c>
      <c r="I1981" s="13">
        <f t="shared" ref="I1981:I1988" si="168">F1981*G1981</f>
        <v>166.98</v>
      </c>
      <c r="J1981" s="13">
        <f t="shared" ref="J1981:J1988" si="169">F1981*H1981</f>
        <v>213.07000000000002</v>
      </c>
    </row>
    <row r="1982" spans="1:10" s="1" customFormat="1" ht="25.5" customHeight="1" x14ac:dyDescent="0.2">
      <c r="A1982" s="10">
        <v>20150</v>
      </c>
      <c r="B1982" s="21">
        <v>43892</v>
      </c>
      <c r="C1982" s="139" t="s">
        <v>732</v>
      </c>
      <c r="D1982" s="140"/>
      <c r="E1982" s="11" t="s">
        <v>102</v>
      </c>
      <c r="F1982" s="12">
        <v>18</v>
      </c>
      <c r="G1982" s="12">
        <v>11.04</v>
      </c>
      <c r="H1982" s="12">
        <v>14.09</v>
      </c>
      <c r="I1982" s="13">
        <f t="shared" si="168"/>
        <v>198.71999999999997</v>
      </c>
      <c r="J1982" s="13">
        <f t="shared" si="169"/>
        <v>253.62</v>
      </c>
    </row>
    <row r="1983" spans="1:10" s="1" customFormat="1" ht="25.5" customHeight="1" x14ac:dyDescent="0.2">
      <c r="A1983" s="10">
        <v>20149</v>
      </c>
      <c r="B1983" s="21">
        <v>43893</v>
      </c>
      <c r="C1983" s="139" t="s">
        <v>733</v>
      </c>
      <c r="D1983" s="140"/>
      <c r="E1983" s="11" t="s">
        <v>102</v>
      </c>
      <c r="F1983" s="12">
        <v>13</v>
      </c>
      <c r="G1983" s="12">
        <v>4.2</v>
      </c>
      <c r="H1983" s="12">
        <v>5.36</v>
      </c>
      <c r="I1983" s="13">
        <f t="shared" si="168"/>
        <v>54.6</v>
      </c>
      <c r="J1983" s="13">
        <f t="shared" si="169"/>
        <v>69.680000000000007</v>
      </c>
    </row>
    <row r="1984" spans="1:10" s="1" customFormat="1" ht="25.5" customHeight="1" x14ac:dyDescent="0.2">
      <c r="A1984" s="10">
        <v>20148</v>
      </c>
      <c r="B1984" s="21">
        <v>43894</v>
      </c>
      <c r="C1984" s="139" t="s">
        <v>734</v>
      </c>
      <c r="D1984" s="140"/>
      <c r="E1984" s="11" t="s">
        <v>102</v>
      </c>
      <c r="F1984" s="12">
        <v>33</v>
      </c>
      <c r="G1984" s="12">
        <v>2.79</v>
      </c>
      <c r="H1984" s="12">
        <v>3.56</v>
      </c>
      <c r="I1984" s="13">
        <f t="shared" si="168"/>
        <v>92.070000000000007</v>
      </c>
      <c r="J1984" s="13">
        <f t="shared" si="169"/>
        <v>117.48</v>
      </c>
    </row>
    <row r="1985" spans="1:10" s="1" customFormat="1" ht="25.5" customHeight="1" x14ac:dyDescent="0.2">
      <c r="A1985" s="10">
        <v>20157</v>
      </c>
      <c r="B1985" s="21">
        <v>43895</v>
      </c>
      <c r="C1985" s="139" t="s">
        <v>735</v>
      </c>
      <c r="D1985" s="140"/>
      <c r="E1985" s="11" t="s">
        <v>102</v>
      </c>
      <c r="F1985" s="12">
        <v>23</v>
      </c>
      <c r="G1985" s="12">
        <v>18.87</v>
      </c>
      <c r="H1985" s="12">
        <v>24.08</v>
      </c>
      <c r="I1985" s="13">
        <f t="shared" si="168"/>
        <v>434.01000000000005</v>
      </c>
      <c r="J1985" s="13">
        <f t="shared" si="169"/>
        <v>553.83999999999992</v>
      </c>
    </row>
    <row r="1986" spans="1:10" s="1" customFormat="1" ht="25.5" customHeight="1" x14ac:dyDescent="0.2">
      <c r="A1986" s="10">
        <v>20156</v>
      </c>
      <c r="B1986" s="21">
        <v>43896</v>
      </c>
      <c r="C1986" s="139" t="s">
        <v>736</v>
      </c>
      <c r="D1986" s="140"/>
      <c r="E1986" s="11" t="s">
        <v>102</v>
      </c>
      <c r="F1986" s="12">
        <v>7</v>
      </c>
      <c r="G1986" s="12">
        <v>11.44</v>
      </c>
      <c r="H1986" s="12">
        <v>14.6</v>
      </c>
      <c r="I1986" s="13">
        <f t="shared" si="168"/>
        <v>80.08</v>
      </c>
      <c r="J1986" s="13">
        <f t="shared" si="169"/>
        <v>102.2</v>
      </c>
    </row>
    <row r="1987" spans="1:10" s="1" customFormat="1" ht="25.5" customHeight="1" x14ac:dyDescent="0.2">
      <c r="A1987" s="10">
        <v>20155</v>
      </c>
      <c r="B1987" s="21">
        <v>43897</v>
      </c>
      <c r="C1987" s="139" t="s">
        <v>737</v>
      </c>
      <c r="D1987" s="140"/>
      <c r="E1987" s="11" t="s">
        <v>102</v>
      </c>
      <c r="F1987" s="12">
        <v>80</v>
      </c>
      <c r="G1987" s="12">
        <v>4.8099999999999996</v>
      </c>
      <c r="H1987" s="12">
        <v>6.14</v>
      </c>
      <c r="I1987" s="13">
        <f t="shared" si="168"/>
        <v>384.79999999999995</v>
      </c>
      <c r="J1987" s="13">
        <f t="shared" si="169"/>
        <v>491.2</v>
      </c>
    </row>
    <row r="1988" spans="1:10" s="1" customFormat="1" ht="25.5" customHeight="1" x14ac:dyDescent="0.2">
      <c r="A1988" s="10">
        <v>20154</v>
      </c>
      <c r="B1988" s="21">
        <v>43898</v>
      </c>
      <c r="C1988" s="139" t="s">
        <v>738</v>
      </c>
      <c r="D1988" s="140"/>
      <c r="E1988" s="11" t="s">
        <v>102</v>
      </c>
      <c r="F1988" s="12">
        <v>69</v>
      </c>
      <c r="G1988" s="12">
        <v>3.07</v>
      </c>
      <c r="H1988" s="12">
        <v>3.92</v>
      </c>
      <c r="I1988" s="13">
        <f t="shared" si="168"/>
        <v>211.82999999999998</v>
      </c>
      <c r="J1988" s="13">
        <f t="shared" si="169"/>
        <v>270.48</v>
      </c>
    </row>
    <row r="1989" spans="1:10" s="1" customFormat="1" ht="25.5" customHeight="1" x14ac:dyDescent="0.2">
      <c r="A1989" s="8"/>
      <c r="B1989" s="9" t="s">
        <v>739</v>
      </c>
      <c r="C1989" s="137" t="s">
        <v>740</v>
      </c>
      <c r="D1989" s="138"/>
      <c r="E1989" s="8"/>
      <c r="F1989" s="8"/>
      <c r="G1989" s="8"/>
      <c r="H1989" s="8"/>
      <c r="I1989" s="8"/>
      <c r="J1989" s="8"/>
    </row>
    <row r="1990" spans="1:10" s="1" customFormat="1" ht="25.5" customHeight="1" x14ac:dyDescent="0.2">
      <c r="A1990" s="10">
        <v>20141</v>
      </c>
      <c r="B1990" s="21">
        <v>43922</v>
      </c>
      <c r="C1990" s="139" t="s">
        <v>741</v>
      </c>
      <c r="D1990" s="140"/>
      <c r="E1990" s="11" t="s">
        <v>102</v>
      </c>
      <c r="F1990" s="12">
        <v>6</v>
      </c>
      <c r="G1990" s="12">
        <v>8.65</v>
      </c>
      <c r="H1990" s="12">
        <v>11.04</v>
      </c>
      <c r="I1990" s="13">
        <f>F1990*G1990</f>
        <v>51.900000000000006</v>
      </c>
      <c r="J1990" s="13">
        <f>F1990*H1990</f>
        <v>66.239999999999995</v>
      </c>
    </row>
    <row r="1991" spans="1:10" s="1" customFormat="1" ht="25.5" customHeight="1" x14ac:dyDescent="0.2">
      <c r="A1991" s="10">
        <v>20140</v>
      </c>
      <c r="B1991" s="21">
        <v>43923</v>
      </c>
      <c r="C1991" s="139" t="s">
        <v>742</v>
      </c>
      <c r="D1991" s="140"/>
      <c r="E1991" s="11" t="s">
        <v>102</v>
      </c>
      <c r="F1991" s="12">
        <v>3</v>
      </c>
      <c r="G1991" s="12">
        <v>5.75</v>
      </c>
      <c r="H1991" s="12">
        <v>7.34</v>
      </c>
      <c r="I1991" s="13">
        <f>F1991*G1991</f>
        <v>17.25</v>
      </c>
      <c r="J1991" s="13">
        <f>F1991*H1991</f>
        <v>22.02</v>
      </c>
    </row>
    <row r="1992" spans="1:10" s="1" customFormat="1" ht="25.5" customHeight="1" x14ac:dyDescent="0.2">
      <c r="A1992" s="8"/>
      <c r="B1992" s="9" t="s">
        <v>743</v>
      </c>
      <c r="C1992" s="137" t="s">
        <v>641</v>
      </c>
      <c r="D1992" s="138"/>
      <c r="E1992" s="8"/>
      <c r="F1992" s="8"/>
      <c r="G1992" s="8"/>
      <c r="H1992" s="8"/>
      <c r="I1992" s="8"/>
      <c r="J1992" s="8"/>
    </row>
    <row r="1993" spans="1:10" s="1" customFormat="1" ht="25.5" customHeight="1" x14ac:dyDescent="0.2">
      <c r="A1993" s="19">
        <v>20171</v>
      </c>
      <c r="B1993" s="21">
        <v>43952</v>
      </c>
      <c r="C1993" s="139" t="s">
        <v>744</v>
      </c>
      <c r="D1993" s="140"/>
      <c r="E1993" s="11" t="s">
        <v>102</v>
      </c>
      <c r="F1993" s="12">
        <v>13</v>
      </c>
      <c r="G1993" s="12">
        <v>25.8</v>
      </c>
      <c r="H1993" s="12">
        <v>32.92</v>
      </c>
      <c r="I1993" s="13">
        <f>F1993*G1993</f>
        <v>335.40000000000003</v>
      </c>
      <c r="J1993" s="13">
        <f>F1993*H1993</f>
        <v>427.96000000000004</v>
      </c>
    </row>
    <row r="1994" spans="1:10" s="1" customFormat="1" ht="25.5" customHeight="1" x14ac:dyDescent="0.2">
      <c r="A1994" s="19">
        <v>20170</v>
      </c>
      <c r="B1994" s="21">
        <v>43953</v>
      </c>
      <c r="C1994" s="139" t="s">
        <v>745</v>
      </c>
      <c r="D1994" s="140"/>
      <c r="E1994" s="11" t="s">
        <v>102</v>
      </c>
      <c r="F1994" s="12">
        <v>7</v>
      </c>
      <c r="G1994" s="12">
        <v>8.23</v>
      </c>
      <c r="H1994" s="12">
        <v>10.5</v>
      </c>
      <c r="I1994" s="13">
        <f>F1994*G1994</f>
        <v>57.61</v>
      </c>
      <c r="J1994" s="13">
        <f>F1994*H1994</f>
        <v>73.5</v>
      </c>
    </row>
    <row r="1995" spans="1:10" s="1" customFormat="1" ht="25.5" customHeight="1" x14ac:dyDescent="0.2">
      <c r="A1995" s="19">
        <v>20169</v>
      </c>
      <c r="B1995" s="21">
        <v>43954</v>
      </c>
      <c r="C1995" s="139" t="s">
        <v>746</v>
      </c>
      <c r="D1995" s="140"/>
      <c r="E1995" s="11" t="s">
        <v>102</v>
      </c>
      <c r="F1995" s="12">
        <v>8</v>
      </c>
      <c r="G1995" s="12">
        <v>6.79</v>
      </c>
      <c r="H1995" s="12">
        <v>8.66</v>
      </c>
      <c r="I1995" s="13">
        <f>F1995*G1995</f>
        <v>54.32</v>
      </c>
      <c r="J1995" s="13">
        <f>F1995*H1995</f>
        <v>69.28</v>
      </c>
    </row>
    <row r="1996" spans="1:10" s="1" customFormat="1" ht="25.5" customHeight="1" x14ac:dyDescent="0.2">
      <c r="A1996" s="19">
        <v>20168</v>
      </c>
      <c r="B1996" s="21">
        <v>43955</v>
      </c>
      <c r="C1996" s="139" t="s">
        <v>747</v>
      </c>
      <c r="D1996" s="140"/>
      <c r="E1996" s="11" t="s">
        <v>102</v>
      </c>
      <c r="F1996" s="12">
        <v>14</v>
      </c>
      <c r="G1996" s="12">
        <v>4.83</v>
      </c>
      <c r="H1996" s="12">
        <v>6.16</v>
      </c>
      <c r="I1996" s="13">
        <f>F1996*G1996</f>
        <v>67.62</v>
      </c>
      <c r="J1996" s="13">
        <f>F1996*H1996</f>
        <v>86.240000000000009</v>
      </c>
    </row>
    <row r="1997" spans="1:10" s="1" customFormat="1" ht="25.5" customHeight="1" x14ac:dyDescent="0.2">
      <c r="A1997" s="19">
        <v>20167</v>
      </c>
      <c r="B1997" s="21">
        <v>43956</v>
      </c>
      <c r="C1997" s="139" t="s">
        <v>748</v>
      </c>
      <c r="D1997" s="140"/>
      <c r="E1997" s="11" t="s">
        <v>102</v>
      </c>
      <c r="F1997" s="12">
        <v>7</v>
      </c>
      <c r="G1997" s="12">
        <v>3.24</v>
      </c>
      <c r="H1997" s="12">
        <v>4.13</v>
      </c>
      <c r="I1997" s="13">
        <f>F1997*G1997</f>
        <v>22.68</v>
      </c>
      <c r="J1997" s="13">
        <f>F1997*H1997</f>
        <v>28.91</v>
      </c>
    </row>
    <row r="1998" spans="1:10" s="1" customFormat="1" ht="25.5" customHeight="1" x14ac:dyDescent="0.2">
      <c r="A1998" s="8"/>
      <c r="B1998" s="9" t="s">
        <v>749</v>
      </c>
      <c r="C1998" s="137" t="s">
        <v>750</v>
      </c>
      <c r="D1998" s="138"/>
      <c r="E1998" s="8"/>
      <c r="F1998" s="8"/>
      <c r="G1998" s="8"/>
      <c r="H1998" s="8"/>
      <c r="I1998" s="8"/>
      <c r="J1998" s="8"/>
    </row>
    <row r="1999" spans="1:10" s="1" customFormat="1" ht="25.5" customHeight="1" x14ac:dyDescent="0.2">
      <c r="A1999" s="19">
        <v>20042</v>
      </c>
      <c r="B1999" s="21">
        <v>43983</v>
      </c>
      <c r="C1999" s="139" t="s">
        <v>751</v>
      </c>
      <c r="D1999" s="140"/>
      <c r="E1999" s="11" t="s">
        <v>102</v>
      </c>
      <c r="F1999" s="12">
        <v>9</v>
      </c>
      <c r="G1999" s="12">
        <v>3.11</v>
      </c>
      <c r="H1999" s="12">
        <v>3.97</v>
      </c>
      <c r="I1999" s="13">
        <f>F1999*G1999</f>
        <v>27.99</v>
      </c>
      <c r="J1999" s="13">
        <f>F1999*H1999</f>
        <v>35.730000000000004</v>
      </c>
    </row>
    <row r="2000" spans="1:10" s="1" customFormat="1" ht="25.5" customHeight="1" x14ac:dyDescent="0.2">
      <c r="A2000" s="19">
        <v>38418</v>
      </c>
      <c r="B2000" s="21">
        <v>43984</v>
      </c>
      <c r="C2000" s="139" t="s">
        <v>752</v>
      </c>
      <c r="D2000" s="140"/>
      <c r="E2000" s="11" t="s">
        <v>102</v>
      </c>
      <c r="F2000" s="12">
        <v>2</v>
      </c>
      <c r="G2000" s="12">
        <v>3.14</v>
      </c>
      <c r="H2000" s="12">
        <v>4.01</v>
      </c>
      <c r="I2000" s="13">
        <f>F2000*G2000</f>
        <v>6.28</v>
      </c>
      <c r="J2000" s="13">
        <f>F2000*H2000</f>
        <v>8.02</v>
      </c>
    </row>
    <row r="2001" spans="1:10" s="1" customFormat="1" ht="25.5" customHeight="1" x14ac:dyDescent="0.2">
      <c r="A2001" s="8"/>
      <c r="B2001" s="9" t="s">
        <v>753</v>
      </c>
      <c r="C2001" s="137" t="s">
        <v>754</v>
      </c>
      <c r="D2001" s="138"/>
      <c r="E2001" s="8"/>
      <c r="F2001" s="8"/>
      <c r="G2001" s="8"/>
      <c r="H2001" s="8"/>
      <c r="I2001" s="8"/>
      <c r="J2001" s="8"/>
    </row>
    <row r="2002" spans="1:10" s="1" customFormat="1" ht="25.5" customHeight="1" x14ac:dyDescent="0.2">
      <c r="A2002" s="19">
        <v>89834</v>
      </c>
      <c r="B2002" s="21">
        <v>44013</v>
      </c>
      <c r="C2002" s="139" t="s">
        <v>755</v>
      </c>
      <c r="D2002" s="140"/>
      <c r="E2002" s="11" t="s">
        <v>102</v>
      </c>
      <c r="F2002" s="12">
        <v>23</v>
      </c>
      <c r="G2002" s="12">
        <v>26.88</v>
      </c>
      <c r="H2002" s="12">
        <v>34.299999999999997</v>
      </c>
      <c r="I2002" s="13">
        <f>F2002*G2002</f>
        <v>618.24</v>
      </c>
      <c r="J2002" s="13">
        <f>F2002*H2002</f>
        <v>788.9</v>
      </c>
    </row>
    <row r="2003" spans="1:10" s="1" customFormat="1" ht="25.5" customHeight="1" x14ac:dyDescent="0.2">
      <c r="A2003" s="8"/>
      <c r="B2003" s="9" t="s">
        <v>756</v>
      </c>
      <c r="C2003" s="137" t="s">
        <v>757</v>
      </c>
      <c r="D2003" s="138"/>
      <c r="E2003" s="8"/>
      <c r="F2003" s="8"/>
      <c r="G2003" s="8"/>
      <c r="H2003" s="8"/>
      <c r="I2003" s="8"/>
      <c r="J2003" s="8"/>
    </row>
    <row r="2004" spans="1:10" s="1" customFormat="1" ht="25.5" customHeight="1" x14ac:dyDescent="0.2">
      <c r="A2004" s="19">
        <v>6138</v>
      </c>
      <c r="B2004" s="21">
        <v>44044</v>
      </c>
      <c r="C2004" s="139" t="s">
        <v>758</v>
      </c>
      <c r="D2004" s="140"/>
      <c r="E2004" s="11" t="s">
        <v>102</v>
      </c>
      <c r="F2004" s="12">
        <v>23</v>
      </c>
      <c r="G2004" s="12">
        <v>1.66</v>
      </c>
      <c r="H2004" s="12">
        <v>2.12</v>
      </c>
      <c r="I2004" s="13">
        <f>F2004*G2004</f>
        <v>38.18</v>
      </c>
      <c r="J2004" s="13">
        <f>F2004*H2004</f>
        <v>48.760000000000005</v>
      </c>
    </row>
    <row r="2005" spans="1:10" s="1" customFormat="1" ht="25.5" customHeight="1" x14ac:dyDescent="0.2">
      <c r="A2005" s="8"/>
      <c r="B2005" s="9" t="s">
        <v>759</v>
      </c>
      <c r="C2005" s="137" t="s">
        <v>760</v>
      </c>
      <c r="D2005" s="138"/>
      <c r="E2005" s="8"/>
      <c r="F2005" s="8"/>
      <c r="G2005" s="8"/>
      <c r="H2005" s="8"/>
      <c r="I2005" s="8"/>
      <c r="J2005" s="8"/>
    </row>
    <row r="2006" spans="1:10" s="1" customFormat="1" ht="25.5" customHeight="1" x14ac:dyDescent="0.2">
      <c r="A2006" s="24">
        <v>84</v>
      </c>
      <c r="B2006" s="21">
        <v>44075</v>
      </c>
      <c r="C2006" s="139" t="s">
        <v>761</v>
      </c>
      <c r="D2006" s="140"/>
      <c r="E2006" s="11" t="s">
        <v>102</v>
      </c>
      <c r="F2006" s="12">
        <v>17</v>
      </c>
      <c r="G2006" s="12">
        <v>1.34</v>
      </c>
      <c r="H2006" s="12">
        <v>1.71</v>
      </c>
      <c r="I2006" s="13">
        <f>F2006*G2006</f>
        <v>22.78</v>
      </c>
      <c r="J2006" s="13">
        <f>F2006*H2006</f>
        <v>29.07</v>
      </c>
    </row>
    <row r="2007" spans="1:10" s="1" customFormat="1" ht="25.5" customHeight="1" x14ac:dyDescent="0.2">
      <c r="A2007" s="8"/>
      <c r="B2007" s="9" t="s">
        <v>762</v>
      </c>
      <c r="C2007" s="137" t="s">
        <v>450</v>
      </c>
      <c r="D2007" s="138"/>
      <c r="E2007" s="8"/>
      <c r="F2007" s="8"/>
      <c r="G2007" s="8"/>
      <c r="H2007" s="8"/>
      <c r="I2007" s="8"/>
      <c r="J2007" s="8"/>
    </row>
    <row r="2008" spans="1:10" s="1" customFormat="1" ht="25.5" customHeight="1" x14ac:dyDescent="0.2">
      <c r="A2008" s="19">
        <v>20178</v>
      </c>
      <c r="B2008" s="25">
        <v>44105</v>
      </c>
      <c r="C2008" s="139" t="s">
        <v>763</v>
      </c>
      <c r="D2008" s="140"/>
      <c r="E2008" s="11" t="s">
        <v>102</v>
      </c>
      <c r="F2008" s="12">
        <v>23</v>
      </c>
      <c r="G2008" s="12">
        <v>21.6</v>
      </c>
      <c r="H2008" s="12">
        <v>27.56</v>
      </c>
      <c r="I2008" s="13">
        <f>F2008*G2008</f>
        <v>496.8</v>
      </c>
      <c r="J2008" s="13">
        <f>F2008*H2008</f>
        <v>633.88</v>
      </c>
    </row>
    <row r="2009" spans="1:10" s="1" customFormat="1" ht="25.5" customHeight="1" x14ac:dyDescent="0.2">
      <c r="A2009" s="22" t="s">
        <v>308</v>
      </c>
      <c r="B2009" s="25">
        <v>44106</v>
      </c>
      <c r="C2009" s="139" t="s">
        <v>764</v>
      </c>
      <c r="D2009" s="140"/>
      <c r="E2009" s="11" t="s">
        <v>102</v>
      </c>
      <c r="F2009" s="12">
        <v>21</v>
      </c>
      <c r="G2009" s="12">
        <v>15.9</v>
      </c>
      <c r="H2009" s="12">
        <v>20.29</v>
      </c>
      <c r="I2009" s="13">
        <f>F2009*G2009</f>
        <v>333.90000000000003</v>
      </c>
      <c r="J2009" s="13">
        <f>F2009*H2009</f>
        <v>426.09</v>
      </c>
    </row>
    <row r="2010" spans="1:10" s="1" customFormat="1" ht="25.5" customHeight="1" x14ac:dyDescent="0.2">
      <c r="A2010" s="19">
        <v>20179</v>
      </c>
      <c r="B2010" s="25">
        <v>44107</v>
      </c>
      <c r="C2010" s="139" t="s">
        <v>765</v>
      </c>
      <c r="D2010" s="140"/>
      <c r="E2010" s="11" t="s">
        <v>102</v>
      </c>
      <c r="F2010" s="12">
        <v>2</v>
      </c>
      <c r="G2010" s="12">
        <v>29.74</v>
      </c>
      <c r="H2010" s="12">
        <v>37.950000000000003</v>
      </c>
      <c r="I2010" s="13">
        <f>F2010*G2010</f>
        <v>59.48</v>
      </c>
      <c r="J2010" s="13">
        <f>F2010*H2010</f>
        <v>75.900000000000006</v>
      </c>
    </row>
    <row r="2011" spans="1:10" s="1" customFormat="1" ht="25.5" customHeight="1" x14ac:dyDescent="0.2">
      <c r="A2011" s="19">
        <v>20177</v>
      </c>
      <c r="B2011" s="25">
        <v>44108</v>
      </c>
      <c r="C2011" s="139" t="s">
        <v>766</v>
      </c>
      <c r="D2011" s="140"/>
      <c r="E2011" s="11" t="s">
        <v>102</v>
      </c>
      <c r="F2011" s="12">
        <v>4</v>
      </c>
      <c r="G2011" s="12">
        <v>17.09</v>
      </c>
      <c r="H2011" s="12">
        <v>21.81</v>
      </c>
      <c r="I2011" s="13">
        <f>F2011*G2011</f>
        <v>68.36</v>
      </c>
      <c r="J2011" s="13">
        <f>F2011*H2011</f>
        <v>87.24</v>
      </c>
    </row>
    <row r="2012" spans="1:10" s="1" customFormat="1" ht="25.5" customHeight="1" x14ac:dyDescent="0.2">
      <c r="A2012" s="19">
        <v>7097</v>
      </c>
      <c r="B2012" s="25">
        <v>44109</v>
      </c>
      <c r="C2012" s="139" t="s">
        <v>767</v>
      </c>
      <c r="D2012" s="140"/>
      <c r="E2012" s="11" t="s">
        <v>102</v>
      </c>
      <c r="F2012" s="12">
        <v>50</v>
      </c>
      <c r="G2012" s="12">
        <v>5.2</v>
      </c>
      <c r="H2012" s="12">
        <v>6.63</v>
      </c>
      <c r="I2012" s="13">
        <f>F2012*G2012</f>
        <v>260</v>
      </c>
      <c r="J2012" s="13">
        <f>F2012*H2012</f>
        <v>331.5</v>
      </c>
    </row>
    <row r="2013" spans="1:10" s="1" customFormat="1" ht="25.5" customHeight="1" x14ac:dyDescent="0.2">
      <c r="A2013" s="8"/>
      <c r="B2013" s="9" t="s">
        <v>768</v>
      </c>
      <c r="C2013" s="137" t="s">
        <v>684</v>
      </c>
      <c r="D2013" s="138"/>
      <c r="E2013" s="8"/>
      <c r="F2013" s="8"/>
      <c r="G2013" s="8"/>
      <c r="H2013" s="8"/>
      <c r="I2013" s="8"/>
      <c r="J2013" s="8"/>
    </row>
    <row r="2014" spans="1:10" s="1" customFormat="1" ht="25.5" customHeight="1" x14ac:dyDescent="0.2">
      <c r="A2014" s="8"/>
      <c r="B2014" s="26">
        <v>44136</v>
      </c>
      <c r="C2014" s="137" t="s">
        <v>769</v>
      </c>
      <c r="D2014" s="138"/>
      <c r="E2014" s="8"/>
      <c r="F2014" s="8"/>
      <c r="G2014" s="8"/>
      <c r="H2014" s="8"/>
      <c r="I2014" s="8"/>
      <c r="J2014" s="8"/>
    </row>
    <row r="2015" spans="1:10" s="1" customFormat="1" ht="25.5" customHeight="1" x14ac:dyDescent="0.2">
      <c r="A2015" s="19">
        <v>11880</v>
      </c>
      <c r="B2015" s="11" t="s">
        <v>770</v>
      </c>
      <c r="C2015" s="139" t="s">
        <v>771</v>
      </c>
      <c r="D2015" s="140"/>
      <c r="E2015" s="11" t="s">
        <v>102</v>
      </c>
      <c r="F2015" s="12">
        <v>4</v>
      </c>
      <c r="G2015" s="12">
        <v>68.53</v>
      </c>
      <c r="H2015" s="12">
        <v>87.44</v>
      </c>
      <c r="I2015" s="13">
        <f>F2015*G2015</f>
        <v>274.12</v>
      </c>
      <c r="J2015" s="13">
        <f>F2015*H2015</f>
        <v>349.76</v>
      </c>
    </row>
    <row r="2016" spans="1:10" s="1" customFormat="1" ht="25.5" customHeight="1" x14ac:dyDescent="0.2">
      <c r="A2016" s="19">
        <v>89491</v>
      </c>
      <c r="B2016" s="11" t="s">
        <v>772</v>
      </c>
      <c r="C2016" s="139" t="s">
        <v>773</v>
      </c>
      <c r="D2016" s="140"/>
      <c r="E2016" s="11" t="s">
        <v>102</v>
      </c>
      <c r="F2016" s="12">
        <v>18</v>
      </c>
      <c r="G2016" s="12">
        <v>44.44</v>
      </c>
      <c r="H2016" s="12">
        <v>56.7</v>
      </c>
      <c r="I2016" s="13">
        <f>F2016*G2016</f>
        <v>799.92</v>
      </c>
      <c r="J2016" s="13">
        <f>F2016*H2016</f>
        <v>1020.6</v>
      </c>
    </row>
    <row r="2017" spans="1:10" s="1" customFormat="1" ht="25.5" customHeight="1" x14ac:dyDescent="0.2">
      <c r="A2017" s="8"/>
      <c r="B2017" s="26">
        <v>44137</v>
      </c>
      <c r="C2017" s="137" t="s">
        <v>774</v>
      </c>
      <c r="D2017" s="138"/>
      <c r="E2017" s="8"/>
      <c r="F2017" s="8"/>
      <c r="G2017" s="8"/>
      <c r="H2017" s="8"/>
      <c r="I2017" s="8"/>
      <c r="J2017" s="12">
        <v>0</v>
      </c>
    </row>
    <row r="2018" spans="1:10" s="1" customFormat="1" ht="25.5" customHeight="1" x14ac:dyDescent="0.2">
      <c r="A2018" s="19">
        <v>11716</v>
      </c>
      <c r="B2018" s="11" t="s">
        <v>775</v>
      </c>
      <c r="C2018" s="139" t="s">
        <v>776</v>
      </c>
      <c r="D2018" s="140"/>
      <c r="E2018" s="11" t="s">
        <v>102</v>
      </c>
      <c r="F2018" s="12">
        <v>6</v>
      </c>
      <c r="G2018" s="12">
        <v>10.38</v>
      </c>
      <c r="H2018" s="12">
        <v>13.24</v>
      </c>
      <c r="I2018" s="13">
        <f>F2018*G2018</f>
        <v>62.28</v>
      </c>
      <c r="J2018" s="13">
        <f>F2018*H2018</f>
        <v>79.44</v>
      </c>
    </row>
    <row r="2019" spans="1:10" s="1" customFormat="1" ht="25.5" customHeight="1" x14ac:dyDescent="0.2">
      <c r="A2019" s="8"/>
      <c r="B2019" s="26">
        <v>44138</v>
      </c>
      <c r="C2019" s="137" t="s">
        <v>711</v>
      </c>
      <c r="D2019" s="138"/>
      <c r="E2019" s="8"/>
      <c r="F2019" s="8"/>
      <c r="G2019" s="8"/>
      <c r="H2019" s="8"/>
      <c r="I2019" s="8"/>
      <c r="J2019" s="8"/>
    </row>
    <row r="2020" spans="1:10" s="1" customFormat="1" ht="25.5" customHeight="1" x14ac:dyDescent="0.2">
      <c r="A2020" s="22" t="s">
        <v>308</v>
      </c>
      <c r="B2020" s="11" t="s">
        <v>777</v>
      </c>
      <c r="C2020" s="139" t="s">
        <v>778</v>
      </c>
      <c r="D2020" s="140"/>
      <c r="E2020" s="11" t="s">
        <v>102</v>
      </c>
      <c r="F2020" s="12">
        <v>13</v>
      </c>
      <c r="G2020" s="12">
        <v>24.15</v>
      </c>
      <c r="H2020" s="12">
        <v>30.81</v>
      </c>
      <c r="I2020" s="13">
        <f t="shared" ref="I2020:I2030" si="170">F2020*G2020</f>
        <v>313.95</v>
      </c>
      <c r="J2020" s="13">
        <f t="shared" ref="J2020:J2030" si="171">F2020*H2020</f>
        <v>400.53</v>
      </c>
    </row>
    <row r="2021" spans="1:10" s="1" customFormat="1" ht="25.5" customHeight="1" x14ac:dyDescent="0.2">
      <c r="A2021" s="22" t="s">
        <v>308</v>
      </c>
      <c r="B2021" s="11" t="s">
        <v>779</v>
      </c>
      <c r="C2021" s="139" t="s">
        <v>780</v>
      </c>
      <c r="D2021" s="140"/>
      <c r="E2021" s="11" t="s">
        <v>102</v>
      </c>
      <c r="F2021" s="12">
        <v>2</v>
      </c>
      <c r="G2021" s="12">
        <v>11.66</v>
      </c>
      <c r="H2021" s="12">
        <v>14.88</v>
      </c>
      <c r="I2021" s="13">
        <f t="shared" si="170"/>
        <v>23.32</v>
      </c>
      <c r="J2021" s="13">
        <f t="shared" si="171"/>
        <v>29.76</v>
      </c>
    </row>
    <row r="2022" spans="1:10" s="1" customFormat="1" ht="25.5" customHeight="1" x14ac:dyDescent="0.2">
      <c r="A2022" s="22" t="s">
        <v>308</v>
      </c>
      <c r="B2022" s="11" t="s">
        <v>781</v>
      </c>
      <c r="C2022" s="139" t="s">
        <v>782</v>
      </c>
      <c r="D2022" s="140"/>
      <c r="E2022" s="11" t="s">
        <v>102</v>
      </c>
      <c r="F2022" s="12">
        <v>5</v>
      </c>
      <c r="G2022" s="12">
        <v>16.05</v>
      </c>
      <c r="H2022" s="12">
        <v>20.48</v>
      </c>
      <c r="I2022" s="13">
        <f t="shared" si="170"/>
        <v>80.25</v>
      </c>
      <c r="J2022" s="13">
        <f t="shared" si="171"/>
        <v>102.4</v>
      </c>
    </row>
    <row r="2023" spans="1:10" s="1" customFormat="1" ht="25.5" customHeight="1" x14ac:dyDescent="0.2">
      <c r="A2023" s="22" t="s">
        <v>308</v>
      </c>
      <c r="B2023" s="11" t="s">
        <v>783</v>
      </c>
      <c r="C2023" s="139" t="s">
        <v>784</v>
      </c>
      <c r="D2023" s="140"/>
      <c r="E2023" s="11" t="s">
        <v>102</v>
      </c>
      <c r="F2023" s="12">
        <v>4</v>
      </c>
      <c r="G2023" s="12">
        <v>9.69</v>
      </c>
      <c r="H2023" s="12">
        <v>12.36</v>
      </c>
      <c r="I2023" s="13">
        <f t="shared" si="170"/>
        <v>38.76</v>
      </c>
      <c r="J2023" s="13">
        <f t="shared" si="171"/>
        <v>49.44</v>
      </c>
    </row>
    <row r="2024" spans="1:10" s="1" customFormat="1" ht="25.5" customHeight="1" x14ac:dyDescent="0.2">
      <c r="A2024" s="22" t="s">
        <v>308</v>
      </c>
      <c r="B2024" s="11" t="s">
        <v>785</v>
      </c>
      <c r="C2024" s="139" t="s">
        <v>786</v>
      </c>
      <c r="D2024" s="140"/>
      <c r="E2024" s="11" t="s">
        <v>102</v>
      </c>
      <c r="F2024" s="12">
        <v>8</v>
      </c>
      <c r="G2024" s="12">
        <v>128.66</v>
      </c>
      <c r="H2024" s="12">
        <v>164.16</v>
      </c>
      <c r="I2024" s="13">
        <f t="shared" si="170"/>
        <v>1029.28</v>
      </c>
      <c r="J2024" s="13">
        <f t="shared" si="171"/>
        <v>1313.28</v>
      </c>
    </row>
    <row r="2025" spans="1:10" s="1" customFormat="1" ht="25.5" customHeight="1" x14ac:dyDescent="0.2">
      <c r="A2025" s="22" t="s">
        <v>308</v>
      </c>
      <c r="B2025" s="11" t="s">
        <v>787</v>
      </c>
      <c r="C2025" s="139" t="s">
        <v>788</v>
      </c>
      <c r="D2025" s="140"/>
      <c r="E2025" s="11" t="s">
        <v>102</v>
      </c>
      <c r="F2025" s="12">
        <v>40</v>
      </c>
      <c r="G2025" s="12">
        <v>61.54</v>
      </c>
      <c r="H2025" s="12">
        <v>78.52</v>
      </c>
      <c r="I2025" s="13">
        <f t="shared" si="170"/>
        <v>2461.6</v>
      </c>
      <c r="J2025" s="13">
        <f t="shared" si="171"/>
        <v>3140.7999999999997</v>
      </c>
    </row>
    <row r="2026" spans="1:10" s="1" customFormat="1" ht="25.5" customHeight="1" x14ac:dyDescent="0.2">
      <c r="A2026" s="22" t="s">
        <v>308</v>
      </c>
      <c r="B2026" s="11" t="s">
        <v>789</v>
      </c>
      <c r="C2026" s="139" t="s">
        <v>790</v>
      </c>
      <c r="D2026" s="140"/>
      <c r="E2026" s="11" t="s">
        <v>102</v>
      </c>
      <c r="F2026" s="12">
        <v>1</v>
      </c>
      <c r="G2026" s="12">
        <v>23.8</v>
      </c>
      <c r="H2026" s="12">
        <v>30.37</v>
      </c>
      <c r="I2026" s="13">
        <f t="shared" si="170"/>
        <v>23.8</v>
      </c>
      <c r="J2026" s="13">
        <f t="shared" si="171"/>
        <v>30.37</v>
      </c>
    </row>
    <row r="2027" spans="1:10" s="1" customFormat="1" ht="25.5" customHeight="1" x14ac:dyDescent="0.2">
      <c r="A2027" s="22" t="s">
        <v>308</v>
      </c>
      <c r="B2027" s="11" t="s">
        <v>791</v>
      </c>
      <c r="C2027" s="139" t="s">
        <v>792</v>
      </c>
      <c r="D2027" s="140"/>
      <c r="E2027" s="11" t="s">
        <v>102</v>
      </c>
      <c r="F2027" s="12">
        <v>4</v>
      </c>
      <c r="G2027" s="12">
        <v>39.9</v>
      </c>
      <c r="H2027" s="12">
        <v>50.91</v>
      </c>
      <c r="I2027" s="13">
        <f t="shared" si="170"/>
        <v>159.6</v>
      </c>
      <c r="J2027" s="13">
        <f t="shared" si="171"/>
        <v>203.64</v>
      </c>
    </row>
    <row r="2028" spans="1:10" s="1" customFormat="1" ht="25.5" customHeight="1" x14ac:dyDescent="0.2">
      <c r="A2028" s="22" t="s">
        <v>308</v>
      </c>
      <c r="B2028" s="11" t="s">
        <v>793</v>
      </c>
      <c r="C2028" s="139" t="s">
        <v>794</v>
      </c>
      <c r="D2028" s="140"/>
      <c r="E2028" s="11" t="s">
        <v>102</v>
      </c>
      <c r="F2028" s="12">
        <v>4</v>
      </c>
      <c r="G2028" s="12">
        <v>12.92</v>
      </c>
      <c r="H2028" s="12">
        <v>16.48</v>
      </c>
      <c r="I2028" s="13">
        <f t="shared" si="170"/>
        <v>51.68</v>
      </c>
      <c r="J2028" s="13">
        <f t="shared" si="171"/>
        <v>65.92</v>
      </c>
    </row>
    <row r="2029" spans="1:10" s="1" customFormat="1" ht="25.5" customHeight="1" x14ac:dyDescent="0.2">
      <c r="A2029" s="22" t="s">
        <v>308</v>
      </c>
      <c r="B2029" s="11" t="s">
        <v>795</v>
      </c>
      <c r="C2029" s="139" t="s">
        <v>796</v>
      </c>
      <c r="D2029" s="140"/>
      <c r="E2029" s="11" t="s">
        <v>102</v>
      </c>
      <c r="F2029" s="12">
        <v>18</v>
      </c>
      <c r="G2029" s="12">
        <v>3.73</v>
      </c>
      <c r="H2029" s="12">
        <v>4.76</v>
      </c>
      <c r="I2029" s="13">
        <f t="shared" si="170"/>
        <v>67.14</v>
      </c>
      <c r="J2029" s="13">
        <f t="shared" si="171"/>
        <v>85.679999999999993</v>
      </c>
    </row>
    <row r="2030" spans="1:10" s="1" customFormat="1" ht="25.5" customHeight="1" x14ac:dyDescent="0.2">
      <c r="A2030" s="22" t="s">
        <v>308</v>
      </c>
      <c r="B2030" s="11" t="s">
        <v>797</v>
      </c>
      <c r="C2030" s="139" t="s">
        <v>798</v>
      </c>
      <c r="D2030" s="140"/>
      <c r="E2030" s="11" t="s">
        <v>102</v>
      </c>
      <c r="F2030" s="12">
        <v>6</v>
      </c>
      <c r="G2030" s="12">
        <v>3.01</v>
      </c>
      <c r="H2030" s="12">
        <v>3.84</v>
      </c>
      <c r="I2030" s="13">
        <f t="shared" si="170"/>
        <v>18.059999999999999</v>
      </c>
      <c r="J2030" s="13">
        <f t="shared" si="171"/>
        <v>23.04</v>
      </c>
    </row>
    <row r="2031" spans="1:10" s="1" customFormat="1" ht="25.5" customHeight="1" x14ac:dyDescent="0.2">
      <c r="A2031" s="8"/>
      <c r="B2031" s="26">
        <v>44139</v>
      </c>
      <c r="C2031" s="137" t="s">
        <v>799</v>
      </c>
      <c r="D2031" s="138"/>
      <c r="E2031" s="8"/>
      <c r="F2031" s="8"/>
      <c r="G2031" s="8"/>
      <c r="H2031" s="8"/>
      <c r="I2031" s="8"/>
      <c r="J2031" s="8"/>
    </row>
    <row r="2032" spans="1:10" s="1" customFormat="1" ht="25.5" customHeight="1" x14ac:dyDescent="0.2">
      <c r="A2032" s="19">
        <v>98108</v>
      </c>
      <c r="B2032" s="11" t="s">
        <v>800</v>
      </c>
      <c r="C2032" s="139" t="s">
        <v>801</v>
      </c>
      <c r="D2032" s="140"/>
      <c r="E2032" s="11" t="s">
        <v>102</v>
      </c>
      <c r="F2032" s="12">
        <v>1</v>
      </c>
      <c r="G2032" s="12">
        <v>347.61</v>
      </c>
      <c r="H2032" s="12">
        <v>443.52</v>
      </c>
      <c r="I2032" s="13">
        <f>F2032*G2032</f>
        <v>347.61</v>
      </c>
      <c r="J2032" s="13">
        <f>F2032*H2032</f>
        <v>443.52</v>
      </c>
    </row>
    <row r="2033" spans="1:10" s="1" customFormat="1" ht="25.5" customHeight="1" x14ac:dyDescent="0.2">
      <c r="A2033" s="19">
        <v>98106</v>
      </c>
      <c r="B2033" s="11" t="s">
        <v>802</v>
      </c>
      <c r="C2033" s="139" t="s">
        <v>803</v>
      </c>
      <c r="D2033" s="140"/>
      <c r="E2033" s="11" t="s">
        <v>102</v>
      </c>
      <c r="F2033" s="12">
        <v>1</v>
      </c>
      <c r="G2033" s="12">
        <v>786.65</v>
      </c>
      <c r="H2033" s="13">
        <v>1003.69</v>
      </c>
      <c r="I2033" s="13">
        <f>F2033*G2033</f>
        <v>786.65</v>
      </c>
      <c r="J2033" s="13">
        <f>F2033*H2033</f>
        <v>1003.69</v>
      </c>
    </row>
    <row r="2034" spans="1:10" s="1" customFormat="1" ht="25.5" customHeight="1" x14ac:dyDescent="0.2">
      <c r="A2034" s="22" t="s">
        <v>308</v>
      </c>
      <c r="B2034" s="11" t="s">
        <v>804</v>
      </c>
      <c r="C2034" s="139" t="s">
        <v>805</v>
      </c>
      <c r="D2034" s="140"/>
      <c r="E2034" s="11" t="s">
        <v>102</v>
      </c>
      <c r="F2034" s="12">
        <v>2</v>
      </c>
      <c r="G2034" s="12">
        <v>205.99</v>
      </c>
      <c r="H2034" s="12">
        <v>262.82</v>
      </c>
      <c r="I2034" s="13">
        <f>F2034*G2034</f>
        <v>411.98</v>
      </c>
      <c r="J2034" s="13">
        <f>F2034*H2034</f>
        <v>525.64</v>
      </c>
    </row>
    <row r="2035" spans="1:10" s="1" customFormat="1" ht="25.5" customHeight="1" x14ac:dyDescent="0.2">
      <c r="A2035" s="8"/>
      <c r="B2035" s="26">
        <v>44140</v>
      </c>
      <c r="C2035" s="137" t="s">
        <v>806</v>
      </c>
      <c r="D2035" s="138"/>
      <c r="E2035" s="8"/>
      <c r="F2035" s="8"/>
      <c r="G2035" s="8"/>
      <c r="H2035" s="8"/>
      <c r="I2035" s="8"/>
      <c r="J2035" s="8"/>
    </row>
    <row r="2036" spans="1:10" s="1" customFormat="1" ht="25.5" customHeight="1" x14ac:dyDescent="0.2">
      <c r="A2036" s="19">
        <v>39320</v>
      </c>
      <c r="B2036" s="11" t="s">
        <v>807</v>
      </c>
      <c r="C2036" s="139" t="s">
        <v>808</v>
      </c>
      <c r="D2036" s="140"/>
      <c r="E2036" s="11" t="s">
        <v>102</v>
      </c>
      <c r="F2036" s="12">
        <v>9</v>
      </c>
      <c r="G2036" s="12">
        <v>5.18</v>
      </c>
      <c r="H2036" s="12">
        <v>6.61</v>
      </c>
      <c r="I2036" s="13">
        <f>F2036*G2036</f>
        <v>46.62</v>
      </c>
      <c r="J2036" s="13">
        <f>F2036*H2036</f>
        <v>59.49</v>
      </c>
    </row>
    <row r="2037" spans="1:10" s="1" customFormat="1" ht="25.5" customHeight="1" x14ac:dyDescent="0.2">
      <c r="A2037" s="19">
        <v>39319</v>
      </c>
      <c r="B2037" s="11" t="s">
        <v>809</v>
      </c>
      <c r="C2037" s="139" t="s">
        <v>810</v>
      </c>
      <c r="D2037" s="140"/>
      <c r="E2037" s="11" t="s">
        <v>102</v>
      </c>
      <c r="F2037" s="12">
        <v>6</v>
      </c>
      <c r="G2037" s="12">
        <v>4.34</v>
      </c>
      <c r="H2037" s="12">
        <v>5.54</v>
      </c>
      <c r="I2037" s="13">
        <f>F2037*G2037</f>
        <v>26.04</v>
      </c>
      <c r="J2037" s="13">
        <f>F2037*H2037</f>
        <v>33.24</v>
      </c>
    </row>
    <row r="2038" spans="1:10" s="1" customFormat="1" ht="25.5" customHeight="1" x14ac:dyDescent="0.2">
      <c r="A2038" s="8"/>
      <c r="B2038" s="26">
        <v>44141</v>
      </c>
      <c r="C2038" s="137" t="s">
        <v>811</v>
      </c>
      <c r="D2038" s="138"/>
      <c r="E2038" s="8"/>
      <c r="F2038" s="8"/>
      <c r="G2038" s="8"/>
      <c r="H2038" s="8"/>
      <c r="I2038" s="8"/>
      <c r="J2038" s="8"/>
    </row>
    <row r="2039" spans="1:10" s="1" customFormat="1" ht="25.5" customHeight="1" x14ac:dyDescent="0.2">
      <c r="A2039" s="27" t="s">
        <v>78</v>
      </c>
      <c r="B2039" s="11" t="s">
        <v>812</v>
      </c>
      <c r="C2039" s="139" t="s">
        <v>813</v>
      </c>
      <c r="D2039" s="140"/>
      <c r="E2039" s="11" t="s">
        <v>102</v>
      </c>
      <c r="F2039" s="12">
        <v>11</v>
      </c>
      <c r="G2039" s="12">
        <v>376.56</v>
      </c>
      <c r="H2039" s="12">
        <v>480.45</v>
      </c>
      <c r="I2039" s="13">
        <f>F2039*G2039</f>
        <v>4142.16</v>
      </c>
      <c r="J2039" s="13">
        <f>F2039*H2039</f>
        <v>5284.95</v>
      </c>
    </row>
    <row r="2040" spans="1:10" s="1" customFormat="1" ht="25.5" customHeight="1" x14ac:dyDescent="0.2">
      <c r="A2040" s="22" t="s">
        <v>308</v>
      </c>
      <c r="B2040" s="11" t="s">
        <v>814</v>
      </c>
      <c r="C2040" s="139" t="s">
        <v>815</v>
      </c>
      <c r="D2040" s="140"/>
      <c r="E2040" s="11" t="s">
        <v>102</v>
      </c>
      <c r="F2040" s="12">
        <v>13</v>
      </c>
      <c r="G2040" s="12">
        <v>205.99</v>
      </c>
      <c r="H2040" s="12">
        <v>262.82</v>
      </c>
      <c r="I2040" s="13">
        <f>F2040*G2040</f>
        <v>2677.87</v>
      </c>
      <c r="J2040" s="13">
        <f>F2040*H2040</f>
        <v>3416.66</v>
      </c>
    </row>
    <row r="2041" spans="1:10" s="1" customFormat="1" ht="25.5" customHeight="1" x14ac:dyDescent="0.2">
      <c r="A2041" s="27" t="s">
        <v>78</v>
      </c>
      <c r="B2041" s="11" t="s">
        <v>816</v>
      </c>
      <c r="C2041" s="139" t="s">
        <v>817</v>
      </c>
      <c r="D2041" s="140"/>
      <c r="E2041" s="11" t="s">
        <v>102</v>
      </c>
      <c r="F2041" s="12">
        <v>2</v>
      </c>
      <c r="G2041" s="12">
        <v>472.96</v>
      </c>
      <c r="H2041" s="12">
        <v>603.45000000000005</v>
      </c>
      <c r="I2041" s="13">
        <f>F2041*G2041</f>
        <v>945.92</v>
      </c>
      <c r="J2041" s="13">
        <f>F2041*H2041</f>
        <v>1206.9000000000001</v>
      </c>
    </row>
    <row r="2042" spans="1:10" s="1" customFormat="1" ht="25.5" customHeight="1" x14ac:dyDescent="0.2">
      <c r="A2042" s="8"/>
      <c r="B2042" s="26">
        <v>44142</v>
      </c>
      <c r="C2042" s="137" t="s">
        <v>703</v>
      </c>
      <c r="D2042" s="138"/>
      <c r="E2042" s="8"/>
      <c r="F2042" s="8"/>
      <c r="G2042" s="8"/>
      <c r="H2042" s="8"/>
      <c r="I2042" s="8"/>
      <c r="J2042" s="8"/>
    </row>
    <row r="2043" spans="1:10" s="1" customFormat="1" ht="25.5" customHeight="1" x14ac:dyDescent="0.2">
      <c r="A2043" s="27" t="s">
        <v>818</v>
      </c>
      <c r="B2043" s="11" t="s">
        <v>819</v>
      </c>
      <c r="C2043" s="139" t="s">
        <v>820</v>
      </c>
      <c r="D2043" s="140"/>
      <c r="E2043" s="11" t="s">
        <v>102</v>
      </c>
      <c r="F2043" s="12">
        <v>1</v>
      </c>
      <c r="G2043" s="13">
        <v>3604.47</v>
      </c>
      <c r="H2043" s="13">
        <v>4598.9399999999996</v>
      </c>
      <c r="I2043" s="13">
        <f>F2043*G2043</f>
        <v>3604.47</v>
      </c>
      <c r="J2043" s="13">
        <f>F2043*H2043</f>
        <v>4598.9399999999996</v>
      </c>
    </row>
    <row r="2044" spans="1:10" s="1" customFormat="1" ht="25.5" customHeight="1" x14ac:dyDescent="0.2">
      <c r="A2044" s="22" t="s">
        <v>308</v>
      </c>
      <c r="B2044" s="11" t="s">
        <v>821</v>
      </c>
      <c r="C2044" s="139" t="s">
        <v>822</v>
      </c>
      <c r="D2044" s="140"/>
      <c r="E2044" s="11" t="s">
        <v>102</v>
      </c>
      <c r="F2044" s="12">
        <v>1</v>
      </c>
      <c r="G2044" s="12">
        <v>308.99</v>
      </c>
      <c r="H2044" s="12">
        <v>394.24</v>
      </c>
      <c r="I2044" s="13">
        <f>F2044*G2044</f>
        <v>308.99</v>
      </c>
      <c r="J2044" s="13">
        <f>F2044*H2044</f>
        <v>394.24</v>
      </c>
    </row>
    <row r="2045" spans="1:10" s="1" customFormat="1" ht="25.5" customHeight="1" x14ac:dyDescent="0.2">
      <c r="A2045" s="8"/>
      <c r="B2045" s="149" t="s">
        <v>823</v>
      </c>
      <c r="C2045" s="150"/>
      <c r="D2045" s="150"/>
      <c r="E2045" s="150"/>
      <c r="F2045" s="150"/>
      <c r="G2045" s="151"/>
      <c r="H2045" s="8"/>
      <c r="I2045" s="14">
        <f>SUM(I1973:I2044)</f>
        <v>41609.429999999993</v>
      </c>
      <c r="J2045" s="15">
        <f>SUM(J1973:J2044)-1</f>
        <v>53089.01999999999</v>
      </c>
    </row>
    <row r="2046" spans="1:10" s="1" customFormat="1" ht="25.5" customHeight="1" x14ac:dyDescent="0.2">
      <c r="A2046" s="8"/>
      <c r="B2046" s="46"/>
      <c r="C2046" s="153"/>
      <c r="D2046" s="154"/>
      <c r="E2046" s="8"/>
      <c r="F2046" s="8"/>
      <c r="G2046" s="8"/>
      <c r="H2046" s="8"/>
      <c r="I2046" s="8"/>
      <c r="J2046" s="8"/>
    </row>
    <row r="2047" spans="1:10" s="1" customFormat="1" ht="25.5" customHeight="1" x14ac:dyDescent="0.2">
      <c r="A2047" s="8"/>
      <c r="B2047" s="9" t="s">
        <v>824</v>
      </c>
      <c r="C2047" s="137" t="s">
        <v>825</v>
      </c>
      <c r="D2047" s="138"/>
      <c r="E2047" s="8"/>
      <c r="F2047" s="8"/>
      <c r="G2047" s="8"/>
      <c r="H2047" s="8"/>
      <c r="I2047" s="8"/>
      <c r="J2047" s="8"/>
    </row>
    <row r="2048" spans="1:10" s="1" customFormat="1" ht="25.5" customHeight="1" x14ac:dyDescent="0.2">
      <c r="A2048" s="8"/>
      <c r="B2048" s="9" t="s">
        <v>826</v>
      </c>
      <c r="C2048" s="137" t="s">
        <v>827</v>
      </c>
      <c r="D2048" s="138"/>
      <c r="E2048" s="8"/>
      <c r="F2048" s="8"/>
      <c r="G2048" s="8"/>
      <c r="H2048" s="8"/>
      <c r="I2048" s="8"/>
      <c r="J2048" s="8"/>
    </row>
    <row r="2049" spans="1:10" s="1" customFormat="1" ht="25.5" customHeight="1" x14ac:dyDescent="0.2">
      <c r="A2049" s="19">
        <v>96985</v>
      </c>
      <c r="B2049" s="21">
        <v>44197</v>
      </c>
      <c r="C2049" s="155" t="s">
        <v>863</v>
      </c>
      <c r="D2049" s="156"/>
      <c r="E2049" s="11" t="s">
        <v>102</v>
      </c>
      <c r="F2049" s="12">
        <v>3</v>
      </c>
      <c r="G2049" s="12">
        <v>38.270000000000003</v>
      </c>
      <c r="H2049" s="12">
        <v>48.83</v>
      </c>
      <c r="I2049" s="13">
        <f>F2049*G2049</f>
        <v>114.81</v>
      </c>
      <c r="J2049" s="13">
        <f>F2049*H2049</f>
        <v>146.49</v>
      </c>
    </row>
    <row r="2050" spans="1:10" s="1" customFormat="1" ht="25.5" customHeight="1" x14ac:dyDescent="0.2">
      <c r="A2050" s="19">
        <v>98111</v>
      </c>
      <c r="B2050" s="21">
        <v>44198</v>
      </c>
      <c r="C2050" s="139" t="s">
        <v>828</v>
      </c>
      <c r="D2050" s="140"/>
      <c r="E2050" s="11" t="s">
        <v>102</v>
      </c>
      <c r="F2050" s="12">
        <v>1</v>
      </c>
      <c r="G2050" s="12">
        <v>17.170000000000002</v>
      </c>
      <c r="H2050" s="12">
        <v>21.91</v>
      </c>
      <c r="I2050" s="13">
        <f>F2050*G2050</f>
        <v>17.170000000000002</v>
      </c>
      <c r="J2050" s="13">
        <f>F2050*H2050</f>
        <v>21.91</v>
      </c>
    </row>
    <row r="2051" spans="1:10" s="1" customFormat="1" ht="25.5" customHeight="1" x14ac:dyDescent="0.2">
      <c r="A2051" s="19">
        <v>39862</v>
      </c>
      <c r="B2051" s="21">
        <v>44199</v>
      </c>
      <c r="C2051" s="139" t="s">
        <v>829</v>
      </c>
      <c r="D2051" s="140"/>
      <c r="E2051" s="11" t="s">
        <v>102</v>
      </c>
      <c r="F2051" s="12">
        <v>3</v>
      </c>
      <c r="G2051" s="12">
        <v>5.62</v>
      </c>
      <c r="H2051" s="12">
        <v>7.17</v>
      </c>
      <c r="I2051" s="13">
        <f>F2051*G2051</f>
        <v>16.86</v>
      </c>
      <c r="J2051" s="13">
        <f>F2051*H2051</f>
        <v>21.509999999999998</v>
      </c>
    </row>
    <row r="2052" spans="1:10" s="1" customFormat="1" ht="25.5" customHeight="1" x14ac:dyDescent="0.2">
      <c r="A2052" s="8"/>
      <c r="B2052" s="149" t="s">
        <v>830</v>
      </c>
      <c r="C2052" s="150"/>
      <c r="D2052" s="150"/>
      <c r="E2052" s="150"/>
      <c r="F2052" s="150"/>
      <c r="G2052" s="151"/>
      <c r="H2052" s="8"/>
      <c r="I2052" s="28">
        <f>SUM(I2049:I2051)</f>
        <v>148.84000000000003</v>
      </c>
      <c r="J2052" s="28">
        <f>SUM(J2049:J2051)</f>
        <v>189.91</v>
      </c>
    </row>
    <row r="2053" spans="1:10" s="1" customFormat="1" ht="25.5" customHeight="1" x14ac:dyDescent="0.2">
      <c r="A2053" s="8"/>
      <c r="B2053" s="9" t="s">
        <v>831</v>
      </c>
      <c r="C2053" s="137" t="s">
        <v>832</v>
      </c>
      <c r="D2053" s="138"/>
      <c r="E2053" s="8"/>
      <c r="F2053" s="8"/>
      <c r="G2053" s="8"/>
      <c r="H2053" s="8"/>
      <c r="I2053" s="8"/>
      <c r="J2053" s="8"/>
    </row>
    <row r="2054" spans="1:10" s="1" customFormat="1" ht="25.5" customHeight="1" x14ac:dyDescent="0.2">
      <c r="A2054" s="19">
        <v>96974</v>
      </c>
      <c r="B2054" s="21">
        <v>44228</v>
      </c>
      <c r="C2054" s="139" t="s">
        <v>833</v>
      </c>
      <c r="D2054" s="140"/>
      <c r="E2054" s="11" t="s">
        <v>81</v>
      </c>
      <c r="F2054" s="12">
        <v>15</v>
      </c>
      <c r="G2054" s="12">
        <v>36.83</v>
      </c>
      <c r="H2054" s="12">
        <v>46.99</v>
      </c>
      <c r="I2054" s="13">
        <f>F2054*G2054</f>
        <v>552.44999999999993</v>
      </c>
      <c r="J2054" s="13">
        <f>F2054*H2054</f>
        <v>704.85</v>
      </c>
    </row>
    <row r="2055" spans="1:10" s="1" customFormat="1" ht="25.5" customHeight="1" x14ac:dyDescent="0.2">
      <c r="A2055" s="19">
        <v>96973</v>
      </c>
      <c r="B2055" s="21">
        <v>44229</v>
      </c>
      <c r="C2055" s="139" t="s">
        <v>834</v>
      </c>
      <c r="D2055" s="140"/>
      <c r="E2055" s="11" t="s">
        <v>81</v>
      </c>
      <c r="F2055" s="12">
        <v>8</v>
      </c>
      <c r="G2055" s="12">
        <v>29.32</v>
      </c>
      <c r="H2055" s="12">
        <v>37.409999999999997</v>
      </c>
      <c r="I2055" s="13">
        <f>F2055*G2055</f>
        <v>234.56</v>
      </c>
      <c r="J2055" s="13">
        <f>F2055*H2055</f>
        <v>299.27999999999997</v>
      </c>
    </row>
    <row r="2056" spans="1:10" s="1" customFormat="1" ht="25.5" customHeight="1" x14ac:dyDescent="0.2">
      <c r="A2056" s="8"/>
      <c r="B2056" s="149" t="s">
        <v>835</v>
      </c>
      <c r="C2056" s="150"/>
      <c r="D2056" s="150"/>
      <c r="E2056" s="150"/>
      <c r="F2056" s="150"/>
      <c r="G2056" s="151"/>
      <c r="H2056" s="8"/>
      <c r="I2056" s="28">
        <f>SUM(I2054:I2055)</f>
        <v>787.01</v>
      </c>
      <c r="J2056" s="18">
        <f>SUM(J2054:J2055)</f>
        <v>1004.13</v>
      </c>
    </row>
    <row r="2057" spans="1:10" s="1" customFormat="1" ht="25.5" customHeight="1" x14ac:dyDescent="0.2">
      <c r="A2057" s="8"/>
      <c r="B2057" s="9" t="s">
        <v>836</v>
      </c>
      <c r="C2057" s="137" t="s">
        <v>837</v>
      </c>
      <c r="D2057" s="138"/>
      <c r="E2057" s="8"/>
      <c r="F2057" s="8"/>
      <c r="G2057" s="8"/>
      <c r="H2057" s="8"/>
      <c r="I2057" s="8"/>
      <c r="J2057" s="8"/>
    </row>
    <row r="2058" spans="1:10" s="1" customFormat="1" ht="25.5" customHeight="1" x14ac:dyDescent="0.2">
      <c r="A2058" s="2" t="s">
        <v>838</v>
      </c>
      <c r="B2058" s="21">
        <v>44256</v>
      </c>
      <c r="C2058" s="139" t="s">
        <v>839</v>
      </c>
      <c r="D2058" s="140"/>
      <c r="E2058" s="11" t="s">
        <v>102</v>
      </c>
      <c r="F2058" s="12">
        <v>1</v>
      </c>
      <c r="G2058" s="13">
        <v>1679.04</v>
      </c>
      <c r="H2058" s="13">
        <v>2142.29</v>
      </c>
      <c r="I2058" s="13">
        <f t="shared" ref="I2058:I2063" si="172">F2058*G2058</f>
        <v>1679.04</v>
      </c>
      <c r="J2058" s="13">
        <f t="shared" ref="J2058:J2063" si="173">F2058*H2058</f>
        <v>2142.29</v>
      </c>
    </row>
    <row r="2059" spans="1:10" s="1" customFormat="1" ht="25.5" customHeight="1" x14ac:dyDescent="0.2">
      <c r="A2059" s="27" t="s">
        <v>840</v>
      </c>
      <c r="B2059" s="21">
        <v>44257</v>
      </c>
      <c r="C2059" s="139" t="s">
        <v>841</v>
      </c>
      <c r="D2059" s="140"/>
      <c r="E2059" s="11" t="s">
        <v>102</v>
      </c>
      <c r="F2059" s="12">
        <v>1</v>
      </c>
      <c r="G2059" s="12">
        <v>214.05</v>
      </c>
      <c r="H2059" s="12">
        <v>273.10000000000002</v>
      </c>
      <c r="I2059" s="13">
        <f t="shared" si="172"/>
        <v>214.05</v>
      </c>
      <c r="J2059" s="13">
        <f t="shared" si="173"/>
        <v>273.10000000000002</v>
      </c>
    </row>
    <row r="2060" spans="1:10" s="1" customFormat="1" ht="25.5" customHeight="1" x14ac:dyDescent="0.2">
      <c r="A2060" s="27" t="s">
        <v>842</v>
      </c>
      <c r="B2060" s="21">
        <v>44258</v>
      </c>
      <c r="C2060" s="139" t="s">
        <v>843</v>
      </c>
      <c r="D2060" s="140"/>
      <c r="E2060" s="11" t="s">
        <v>102</v>
      </c>
      <c r="F2060" s="12">
        <v>2</v>
      </c>
      <c r="G2060" s="12">
        <v>320</v>
      </c>
      <c r="H2060" s="12">
        <v>408.28</v>
      </c>
      <c r="I2060" s="13">
        <f t="shared" si="172"/>
        <v>640</v>
      </c>
      <c r="J2060" s="13">
        <f t="shared" si="173"/>
        <v>816.56</v>
      </c>
    </row>
    <row r="2061" spans="1:10" s="1" customFormat="1" ht="25.5" customHeight="1" x14ac:dyDescent="0.2">
      <c r="A2061" s="27" t="s">
        <v>842</v>
      </c>
      <c r="B2061" s="21">
        <v>44259</v>
      </c>
      <c r="C2061" s="139" t="s">
        <v>844</v>
      </c>
      <c r="D2061" s="140"/>
      <c r="E2061" s="11" t="s">
        <v>102</v>
      </c>
      <c r="F2061" s="12">
        <v>1</v>
      </c>
      <c r="G2061" s="12">
        <v>320</v>
      </c>
      <c r="H2061" s="12">
        <v>408.28</v>
      </c>
      <c r="I2061" s="13">
        <f t="shared" si="172"/>
        <v>320</v>
      </c>
      <c r="J2061" s="13">
        <f t="shared" si="173"/>
        <v>408.28</v>
      </c>
    </row>
    <row r="2062" spans="1:10" s="1" customFormat="1" ht="25.5" customHeight="1" x14ac:dyDescent="0.2">
      <c r="A2062" s="27" t="s">
        <v>842</v>
      </c>
      <c r="B2062" s="21">
        <v>44260</v>
      </c>
      <c r="C2062" s="139" t="s">
        <v>845</v>
      </c>
      <c r="D2062" s="140"/>
      <c r="E2062" s="11" t="s">
        <v>102</v>
      </c>
      <c r="F2062" s="12">
        <v>1</v>
      </c>
      <c r="G2062" s="12">
        <v>320</v>
      </c>
      <c r="H2062" s="12">
        <v>408.28</v>
      </c>
      <c r="I2062" s="13">
        <f t="shared" si="172"/>
        <v>320</v>
      </c>
      <c r="J2062" s="13">
        <f t="shared" si="173"/>
        <v>408.28</v>
      </c>
    </row>
    <row r="2063" spans="1:10" s="1" customFormat="1" ht="25.5" customHeight="1" x14ac:dyDescent="0.2">
      <c r="A2063" s="22" t="s">
        <v>308</v>
      </c>
      <c r="B2063" s="21">
        <v>44261</v>
      </c>
      <c r="C2063" s="139" t="s">
        <v>846</v>
      </c>
      <c r="D2063" s="140"/>
      <c r="E2063" s="11" t="s">
        <v>102</v>
      </c>
      <c r="F2063" s="12">
        <v>1</v>
      </c>
      <c r="G2063" s="12">
        <v>282.57</v>
      </c>
      <c r="H2063" s="12">
        <v>360.53</v>
      </c>
      <c r="I2063" s="13">
        <f t="shared" si="172"/>
        <v>282.57</v>
      </c>
      <c r="J2063" s="13">
        <f t="shared" si="173"/>
        <v>360.53</v>
      </c>
    </row>
    <row r="2064" spans="1:10" s="1" customFormat="1" ht="25.5" customHeight="1" x14ac:dyDescent="0.2">
      <c r="A2064" s="8"/>
      <c r="B2064" s="149" t="s">
        <v>847</v>
      </c>
      <c r="C2064" s="150"/>
      <c r="D2064" s="150"/>
      <c r="E2064" s="150"/>
      <c r="F2064" s="150"/>
      <c r="G2064" s="151"/>
      <c r="H2064" s="8"/>
      <c r="I2064" s="18">
        <f>SUM(I2058:I2063)</f>
        <v>3455.6600000000003</v>
      </c>
      <c r="J2064" s="18">
        <f>SUM(J2058:J2063)</f>
        <v>4409.0399999999991</v>
      </c>
    </row>
    <row r="2065" spans="1:10" s="1" customFormat="1" ht="25.5" customHeight="1" x14ac:dyDescent="0.2">
      <c r="A2065" s="8"/>
      <c r="B2065" s="9" t="s">
        <v>848</v>
      </c>
      <c r="C2065" s="137" t="s">
        <v>849</v>
      </c>
      <c r="D2065" s="138"/>
      <c r="E2065" s="8"/>
      <c r="F2065" s="8"/>
      <c r="G2065" s="8"/>
      <c r="H2065" s="8"/>
      <c r="I2065" s="8"/>
      <c r="J2065" s="8"/>
    </row>
    <row r="2066" spans="1:10" s="1" customFormat="1" ht="25.5" customHeight="1" x14ac:dyDescent="0.2">
      <c r="A2066" s="27" t="s">
        <v>842</v>
      </c>
      <c r="B2066" s="21">
        <v>44287</v>
      </c>
      <c r="C2066" s="139" t="s">
        <v>850</v>
      </c>
      <c r="D2066" s="140"/>
      <c r="E2066" s="11" t="s">
        <v>102</v>
      </c>
      <c r="F2066" s="12">
        <v>2</v>
      </c>
      <c r="G2066" s="12">
        <v>320</v>
      </c>
      <c r="H2066" s="12">
        <v>408.28</v>
      </c>
      <c r="I2066" s="13">
        <f>F2066*G2066</f>
        <v>640</v>
      </c>
      <c r="J2066" s="13">
        <f>F2066*H2066</f>
        <v>816.56</v>
      </c>
    </row>
    <row r="2067" spans="1:10" s="1" customFormat="1" ht="25.5" customHeight="1" x14ac:dyDescent="0.2">
      <c r="A2067" s="27" t="s">
        <v>851</v>
      </c>
      <c r="B2067" s="21">
        <v>44288</v>
      </c>
      <c r="C2067" s="139" t="s">
        <v>852</v>
      </c>
      <c r="D2067" s="140"/>
      <c r="E2067" s="11" t="s">
        <v>102</v>
      </c>
      <c r="F2067" s="12">
        <v>1</v>
      </c>
      <c r="G2067" s="12">
        <v>950.49</v>
      </c>
      <c r="H2067" s="13">
        <v>1212.73</v>
      </c>
      <c r="I2067" s="13">
        <f>F2067*G2067</f>
        <v>950.49</v>
      </c>
      <c r="J2067" s="13">
        <f>F2067*H2067</f>
        <v>1212.73</v>
      </c>
    </row>
    <row r="2068" spans="1:10" s="1" customFormat="1" ht="25.5" customHeight="1" x14ac:dyDescent="0.2">
      <c r="A2068" s="29" t="s">
        <v>853</v>
      </c>
      <c r="B2068" s="30">
        <v>44289</v>
      </c>
      <c r="C2068" s="155" t="s">
        <v>864</v>
      </c>
      <c r="D2068" s="156"/>
      <c r="E2068" s="31" t="s">
        <v>102</v>
      </c>
      <c r="F2068" s="32">
        <v>1</v>
      </c>
      <c r="G2068" s="33">
        <v>1309.99</v>
      </c>
      <c r="H2068" s="33">
        <v>1671.41</v>
      </c>
      <c r="I2068" s="13">
        <f>F2068*G2068</f>
        <v>1309.99</v>
      </c>
      <c r="J2068" s="13">
        <f>F2068*H2068</f>
        <v>1671.41</v>
      </c>
    </row>
    <row r="2069" spans="1:10" s="1" customFormat="1" ht="25.5" customHeight="1" x14ac:dyDescent="0.2">
      <c r="A2069" s="8"/>
      <c r="B2069" s="149" t="s">
        <v>854</v>
      </c>
      <c r="C2069" s="150"/>
      <c r="D2069" s="150"/>
      <c r="E2069" s="150"/>
      <c r="F2069" s="150"/>
      <c r="G2069" s="151"/>
      <c r="H2069" s="8"/>
      <c r="I2069" s="18">
        <f>SUM(I2066:I2068)</f>
        <v>2900.48</v>
      </c>
      <c r="J2069" s="18">
        <f>SUM(J2066:J2068)</f>
        <v>3700.7</v>
      </c>
    </row>
    <row r="2070" spans="1:10" s="1" customFormat="1" ht="25.5" customHeight="1" x14ac:dyDescent="0.2">
      <c r="A2070" s="8"/>
      <c r="B2070" s="9" t="s">
        <v>855</v>
      </c>
      <c r="C2070" s="137" t="s">
        <v>856</v>
      </c>
      <c r="D2070" s="138"/>
      <c r="E2070" s="8"/>
      <c r="F2070" s="8"/>
      <c r="G2070" s="8"/>
      <c r="H2070" s="8"/>
      <c r="I2070" s="8"/>
      <c r="J2070" s="8"/>
    </row>
    <row r="2071" spans="1:10" s="1" customFormat="1" ht="25.5" customHeight="1" x14ac:dyDescent="0.2">
      <c r="A2071" s="19">
        <v>2504</v>
      </c>
      <c r="B2071" s="21">
        <v>44317</v>
      </c>
      <c r="C2071" s="139" t="s">
        <v>857</v>
      </c>
      <c r="D2071" s="140"/>
      <c r="E2071" s="11" t="s">
        <v>81</v>
      </c>
      <c r="F2071" s="12">
        <v>160</v>
      </c>
      <c r="G2071" s="12">
        <v>5.51</v>
      </c>
      <c r="H2071" s="12">
        <v>7.03</v>
      </c>
      <c r="I2071" s="13">
        <f t="shared" ref="I2071:I2082" si="174">F2071*G2071</f>
        <v>881.59999999999991</v>
      </c>
      <c r="J2071" s="13">
        <f t="shared" ref="J2071:J2082" si="175">F2071*H2071</f>
        <v>1124.8</v>
      </c>
    </row>
    <row r="2072" spans="1:10" s="1" customFormat="1" ht="25.5" customHeight="1" x14ac:dyDescent="0.2">
      <c r="A2072" s="19">
        <v>91844</v>
      </c>
      <c r="B2072" s="21">
        <v>44318</v>
      </c>
      <c r="C2072" s="139" t="s">
        <v>858</v>
      </c>
      <c r="D2072" s="140"/>
      <c r="E2072" s="11" t="s">
        <v>81</v>
      </c>
      <c r="F2072" s="13">
        <v>1250</v>
      </c>
      <c r="G2072" s="12">
        <v>4.1500000000000004</v>
      </c>
      <c r="H2072" s="12">
        <v>5.29</v>
      </c>
      <c r="I2072" s="13">
        <f t="shared" si="174"/>
        <v>5187.5</v>
      </c>
      <c r="J2072" s="13">
        <f t="shared" si="175"/>
        <v>6612.5</v>
      </c>
    </row>
    <row r="2073" spans="1:10" s="1" customFormat="1" ht="25.5" customHeight="1" x14ac:dyDescent="0.2">
      <c r="A2073" s="19">
        <v>91846</v>
      </c>
      <c r="B2073" s="21">
        <v>44319</v>
      </c>
      <c r="C2073" s="139" t="s">
        <v>859</v>
      </c>
      <c r="D2073" s="140"/>
      <c r="E2073" s="11" t="s">
        <v>81</v>
      </c>
      <c r="F2073" s="12">
        <v>200</v>
      </c>
      <c r="G2073" s="12">
        <v>5.77</v>
      </c>
      <c r="H2073" s="12">
        <v>7.36</v>
      </c>
      <c r="I2073" s="13">
        <f t="shared" si="174"/>
        <v>1154</v>
      </c>
      <c r="J2073" s="13">
        <f t="shared" si="175"/>
        <v>1472</v>
      </c>
    </row>
    <row r="2074" spans="1:10" s="1" customFormat="1" ht="25.5" customHeight="1" x14ac:dyDescent="0.2">
      <c r="A2074" s="27" t="s">
        <v>78</v>
      </c>
      <c r="B2074" s="21">
        <v>44320</v>
      </c>
      <c r="C2074" s="139" t="s">
        <v>860</v>
      </c>
      <c r="D2074" s="140"/>
      <c r="E2074" s="11" t="s">
        <v>102</v>
      </c>
      <c r="F2074" s="12">
        <v>25</v>
      </c>
      <c r="G2074" s="12">
        <v>44.63</v>
      </c>
      <c r="H2074" s="12">
        <v>56.94</v>
      </c>
      <c r="I2074" s="13">
        <f t="shared" si="174"/>
        <v>1115.75</v>
      </c>
      <c r="J2074" s="13">
        <f t="shared" si="175"/>
        <v>1423.5</v>
      </c>
    </row>
    <row r="2075" spans="1:10" s="1" customFormat="1" ht="25.5" customHeight="1" x14ac:dyDescent="0.2">
      <c r="A2075" s="19">
        <v>39246</v>
      </c>
      <c r="B2075" s="21">
        <v>44321</v>
      </c>
      <c r="C2075" s="139" t="s">
        <v>861</v>
      </c>
      <c r="D2075" s="140"/>
      <c r="E2075" s="11" t="s">
        <v>81</v>
      </c>
      <c r="F2075" s="12">
        <v>30</v>
      </c>
      <c r="G2075" s="12">
        <v>2.0299999999999998</v>
      </c>
      <c r="H2075" s="12">
        <v>2.6</v>
      </c>
      <c r="I2075" s="13">
        <f t="shared" si="174"/>
        <v>60.899999999999991</v>
      </c>
      <c r="J2075" s="13">
        <f t="shared" si="175"/>
        <v>78</v>
      </c>
    </row>
    <row r="2076" spans="1:10" s="1" customFormat="1" ht="25.5" customHeight="1" x14ac:dyDescent="0.2">
      <c r="A2076" s="19">
        <v>2446</v>
      </c>
      <c r="B2076" s="21">
        <v>44322</v>
      </c>
      <c r="C2076" s="139" t="s">
        <v>862</v>
      </c>
      <c r="D2076" s="140"/>
      <c r="E2076" s="11" t="s">
        <v>81</v>
      </c>
      <c r="F2076" s="12">
        <v>55</v>
      </c>
      <c r="G2076" s="12">
        <v>2.93</v>
      </c>
      <c r="H2076" s="12">
        <v>3.73</v>
      </c>
      <c r="I2076" s="13">
        <f t="shared" si="174"/>
        <v>161.15</v>
      </c>
      <c r="J2076" s="13">
        <f t="shared" si="175"/>
        <v>205.15</v>
      </c>
    </row>
    <row r="2077" spans="1:10" s="1" customFormat="1" ht="25.5" customHeight="1" x14ac:dyDescent="0.2">
      <c r="A2077" s="19">
        <v>2442</v>
      </c>
      <c r="B2077" s="21">
        <v>44323</v>
      </c>
      <c r="C2077" s="139" t="s">
        <v>865</v>
      </c>
      <c r="D2077" s="140"/>
      <c r="E2077" s="11" t="s">
        <v>81</v>
      </c>
      <c r="F2077" s="12">
        <v>60</v>
      </c>
      <c r="G2077" s="12">
        <v>4.0999999999999996</v>
      </c>
      <c r="H2077" s="12">
        <v>5.22</v>
      </c>
      <c r="I2077" s="13">
        <f t="shared" si="174"/>
        <v>245.99999999999997</v>
      </c>
      <c r="J2077" s="13">
        <f t="shared" si="175"/>
        <v>313.2</v>
      </c>
    </row>
    <row r="2078" spans="1:10" s="1" customFormat="1" ht="25.5" customHeight="1" x14ac:dyDescent="0.2">
      <c r="A2078" s="19">
        <v>39248</v>
      </c>
      <c r="B2078" s="21">
        <v>44324</v>
      </c>
      <c r="C2078" s="139" t="s">
        <v>866</v>
      </c>
      <c r="D2078" s="140"/>
      <c r="E2078" s="11" t="s">
        <v>81</v>
      </c>
      <c r="F2078" s="12">
        <v>60</v>
      </c>
      <c r="G2078" s="12">
        <v>5.71</v>
      </c>
      <c r="H2078" s="12">
        <v>7.28</v>
      </c>
      <c r="I2078" s="13">
        <f t="shared" si="174"/>
        <v>342.6</v>
      </c>
      <c r="J2078" s="13">
        <f t="shared" si="175"/>
        <v>436.8</v>
      </c>
    </row>
    <row r="2079" spans="1:10" s="1" customFormat="1" ht="25.5" customHeight="1" x14ac:dyDescent="0.2">
      <c r="A2079" s="22" t="s">
        <v>308</v>
      </c>
      <c r="B2079" s="21">
        <v>44325</v>
      </c>
      <c r="C2079" s="139" t="s">
        <v>867</v>
      </c>
      <c r="D2079" s="140"/>
      <c r="E2079" s="11" t="s">
        <v>81</v>
      </c>
      <c r="F2079" s="12">
        <v>200</v>
      </c>
      <c r="G2079" s="12">
        <v>9.8699999999999992</v>
      </c>
      <c r="H2079" s="12">
        <v>12.59</v>
      </c>
      <c r="I2079" s="13">
        <f t="shared" si="174"/>
        <v>1973.9999999999998</v>
      </c>
      <c r="J2079" s="13">
        <f t="shared" si="175"/>
        <v>2518</v>
      </c>
    </row>
    <row r="2080" spans="1:10" s="1" customFormat="1" ht="25.5" customHeight="1" x14ac:dyDescent="0.2">
      <c r="A2080" s="19">
        <v>39272</v>
      </c>
      <c r="B2080" s="34">
        <v>40319</v>
      </c>
      <c r="C2080" s="139" t="s">
        <v>868</v>
      </c>
      <c r="D2080" s="140"/>
      <c r="E2080" s="11" t="s">
        <v>102</v>
      </c>
      <c r="F2080" s="12">
        <v>180</v>
      </c>
      <c r="G2080" s="12">
        <v>1.47</v>
      </c>
      <c r="H2080" s="12">
        <v>1.87</v>
      </c>
      <c r="I2080" s="13">
        <f t="shared" si="174"/>
        <v>264.60000000000002</v>
      </c>
      <c r="J2080" s="13">
        <f t="shared" si="175"/>
        <v>336.6</v>
      </c>
    </row>
    <row r="2081" spans="1:10" s="1" customFormat="1" ht="25.5" customHeight="1" x14ac:dyDescent="0.2">
      <c r="A2081" s="22" t="s">
        <v>308</v>
      </c>
      <c r="B2081" s="34">
        <v>40684</v>
      </c>
      <c r="C2081" s="139" t="s">
        <v>869</v>
      </c>
      <c r="D2081" s="140"/>
      <c r="E2081" s="11" t="s">
        <v>102</v>
      </c>
      <c r="F2081" s="12">
        <v>800</v>
      </c>
      <c r="G2081" s="12">
        <v>1.1200000000000001</v>
      </c>
      <c r="H2081" s="12">
        <v>1.43</v>
      </c>
      <c r="I2081" s="13">
        <f t="shared" si="174"/>
        <v>896.00000000000011</v>
      </c>
      <c r="J2081" s="13">
        <f t="shared" si="175"/>
        <v>1144</v>
      </c>
    </row>
    <row r="2082" spans="1:10" s="1" customFormat="1" ht="25.5" customHeight="1" x14ac:dyDescent="0.2">
      <c r="A2082" s="22" t="s">
        <v>308</v>
      </c>
      <c r="B2082" s="34">
        <v>41050</v>
      </c>
      <c r="C2082" s="139" t="s">
        <v>870</v>
      </c>
      <c r="D2082" s="140"/>
      <c r="E2082" s="11" t="s">
        <v>102</v>
      </c>
      <c r="F2082" s="12">
        <v>120</v>
      </c>
      <c r="G2082" s="12">
        <v>2.2400000000000002</v>
      </c>
      <c r="H2082" s="12">
        <v>2.86</v>
      </c>
      <c r="I2082" s="13">
        <f t="shared" si="174"/>
        <v>268.8</v>
      </c>
      <c r="J2082" s="13">
        <f t="shared" si="175"/>
        <v>343.2</v>
      </c>
    </row>
    <row r="2083" spans="1:10" s="1" customFormat="1" ht="25.5" customHeight="1" x14ac:dyDescent="0.2">
      <c r="A2083" s="8"/>
      <c r="B2083" s="149" t="s">
        <v>871</v>
      </c>
      <c r="C2083" s="150"/>
      <c r="D2083" s="150"/>
      <c r="E2083" s="150"/>
      <c r="F2083" s="150"/>
      <c r="G2083" s="151"/>
      <c r="H2083" s="8"/>
      <c r="I2083" s="18">
        <f>SUM(I2071:I2082)</f>
        <v>12552.9</v>
      </c>
      <c r="J2083" s="18">
        <f>SUM(J2071:J2082)</f>
        <v>16007.75</v>
      </c>
    </row>
    <row r="2084" spans="1:10" s="1" customFormat="1" ht="25.5" customHeight="1" x14ac:dyDescent="0.2">
      <c r="A2084" s="8"/>
      <c r="B2084" s="9" t="s">
        <v>872</v>
      </c>
      <c r="C2084" s="137" t="s">
        <v>873</v>
      </c>
      <c r="D2084" s="138"/>
      <c r="E2084" s="8"/>
      <c r="F2084" s="8"/>
      <c r="G2084" s="8"/>
      <c r="H2084" s="8"/>
      <c r="I2084" s="8"/>
      <c r="J2084" s="8"/>
    </row>
    <row r="2085" spans="1:10" s="1" customFormat="1" ht="25.5" customHeight="1" x14ac:dyDescent="0.2">
      <c r="A2085" s="35"/>
      <c r="B2085" s="47"/>
      <c r="C2085" s="139" t="s">
        <v>874</v>
      </c>
      <c r="D2085" s="140"/>
      <c r="E2085" s="35"/>
      <c r="F2085" s="35"/>
      <c r="G2085" s="35"/>
      <c r="H2085" s="35"/>
      <c r="I2085" s="35"/>
      <c r="J2085" s="35"/>
    </row>
    <row r="2086" spans="1:10" s="1" customFormat="1" ht="25.5" customHeight="1" x14ac:dyDescent="0.2">
      <c r="A2086" s="24">
        <v>1014</v>
      </c>
      <c r="B2086" s="21">
        <v>44348</v>
      </c>
      <c r="C2086" s="139" t="s">
        <v>875</v>
      </c>
      <c r="D2086" s="140"/>
      <c r="E2086" s="11" t="s">
        <v>81</v>
      </c>
      <c r="F2086" s="13">
        <v>7200</v>
      </c>
      <c r="G2086" s="12">
        <v>1.03</v>
      </c>
      <c r="H2086" s="12">
        <v>1.31</v>
      </c>
      <c r="I2086" s="13">
        <f>F2086*G2086</f>
        <v>7416</v>
      </c>
      <c r="J2086" s="13">
        <f>F2086*H2086</f>
        <v>9432</v>
      </c>
    </row>
    <row r="2087" spans="1:10" s="1" customFormat="1" ht="25.5" customHeight="1" x14ac:dyDescent="0.2">
      <c r="A2087" s="24">
        <v>981</v>
      </c>
      <c r="B2087" s="21">
        <v>44349</v>
      </c>
      <c r="C2087" s="139" t="s">
        <v>876</v>
      </c>
      <c r="D2087" s="140"/>
      <c r="E2087" s="11" t="s">
        <v>81</v>
      </c>
      <c r="F2087" s="12">
        <v>750</v>
      </c>
      <c r="G2087" s="12">
        <v>1.84</v>
      </c>
      <c r="H2087" s="12">
        <v>2.35</v>
      </c>
      <c r="I2087" s="13">
        <f>F2087*G2087</f>
        <v>1380</v>
      </c>
      <c r="J2087" s="13">
        <f>F2087*H2087</f>
        <v>1762.5</v>
      </c>
    </row>
    <row r="2088" spans="1:10" s="1" customFormat="1" ht="25.5" customHeight="1" x14ac:dyDescent="0.2">
      <c r="A2088" s="24">
        <v>982</v>
      </c>
      <c r="B2088" s="21">
        <v>44350</v>
      </c>
      <c r="C2088" s="139" t="s">
        <v>877</v>
      </c>
      <c r="D2088" s="140"/>
      <c r="E2088" s="11" t="s">
        <v>81</v>
      </c>
      <c r="F2088" s="12">
        <v>300</v>
      </c>
      <c r="G2088" s="12">
        <v>2.57</v>
      </c>
      <c r="H2088" s="12">
        <v>3.28</v>
      </c>
      <c r="I2088" s="13">
        <f>F2088*G2088</f>
        <v>771</v>
      </c>
      <c r="J2088" s="13">
        <f>F2088*H2088</f>
        <v>983.99999999999989</v>
      </c>
    </row>
    <row r="2089" spans="1:10" s="1" customFormat="1" ht="25.5" customHeight="1" x14ac:dyDescent="0.2">
      <c r="A2089" s="35"/>
      <c r="B2089" s="47"/>
      <c r="C2089" s="139" t="s">
        <v>878</v>
      </c>
      <c r="D2089" s="140"/>
      <c r="E2089" s="35"/>
      <c r="F2089" s="35"/>
      <c r="G2089" s="35"/>
      <c r="H2089" s="35"/>
      <c r="I2089" s="35"/>
      <c r="J2089" s="35"/>
    </row>
    <row r="2090" spans="1:10" s="1" customFormat="1" ht="25.5" customHeight="1" x14ac:dyDescent="0.2">
      <c r="A2090" s="24">
        <v>994</v>
      </c>
      <c r="B2090" s="21">
        <v>44351</v>
      </c>
      <c r="C2090" s="139" t="s">
        <v>877</v>
      </c>
      <c r="D2090" s="140"/>
      <c r="E2090" s="11" t="s">
        <v>81</v>
      </c>
      <c r="F2090" s="12">
        <v>400</v>
      </c>
      <c r="G2090" s="12">
        <v>3</v>
      </c>
      <c r="H2090" s="12">
        <v>3.83</v>
      </c>
      <c r="I2090" s="13">
        <f t="shared" ref="I2090:I2095" si="176">F2090*G2090</f>
        <v>1200</v>
      </c>
      <c r="J2090" s="13">
        <f t="shared" ref="J2090:J2095" si="177">F2090*H2090</f>
        <v>1532</v>
      </c>
    </row>
    <row r="2091" spans="1:10" s="1" customFormat="1" ht="25.5" customHeight="1" x14ac:dyDescent="0.2">
      <c r="A2091" s="24">
        <v>1020</v>
      </c>
      <c r="B2091" s="21">
        <v>44352</v>
      </c>
      <c r="C2091" s="139" t="s">
        <v>879</v>
      </c>
      <c r="D2091" s="140"/>
      <c r="E2091" s="11" t="s">
        <v>81</v>
      </c>
      <c r="F2091" s="12">
        <v>100</v>
      </c>
      <c r="G2091" s="12">
        <v>4.8</v>
      </c>
      <c r="H2091" s="12">
        <v>6.12</v>
      </c>
      <c r="I2091" s="13">
        <f t="shared" si="176"/>
        <v>480</v>
      </c>
      <c r="J2091" s="13">
        <f t="shared" si="177"/>
        <v>612</v>
      </c>
    </row>
    <row r="2092" spans="1:10" s="1" customFormat="1" ht="25.5" customHeight="1" x14ac:dyDescent="0.2">
      <c r="A2092" s="24">
        <v>995</v>
      </c>
      <c r="B2092" s="21">
        <v>44353</v>
      </c>
      <c r="C2092" s="139" t="s">
        <v>880</v>
      </c>
      <c r="D2092" s="140"/>
      <c r="E2092" s="11" t="s">
        <v>81</v>
      </c>
      <c r="F2092" s="12">
        <v>500</v>
      </c>
      <c r="G2092" s="12">
        <v>7.37</v>
      </c>
      <c r="H2092" s="12">
        <v>9.4</v>
      </c>
      <c r="I2092" s="13">
        <f t="shared" si="176"/>
        <v>3685</v>
      </c>
      <c r="J2092" s="13">
        <f t="shared" si="177"/>
        <v>4700</v>
      </c>
    </row>
    <row r="2093" spans="1:10" s="1" customFormat="1" ht="25.5" customHeight="1" x14ac:dyDescent="0.2">
      <c r="A2093" s="24">
        <v>996</v>
      </c>
      <c r="B2093" s="21">
        <v>44354</v>
      </c>
      <c r="C2093" s="139" t="s">
        <v>881</v>
      </c>
      <c r="D2093" s="140"/>
      <c r="E2093" s="11" t="s">
        <v>81</v>
      </c>
      <c r="F2093" s="12">
        <v>25</v>
      </c>
      <c r="G2093" s="12">
        <v>11.21</v>
      </c>
      <c r="H2093" s="12">
        <v>14.3</v>
      </c>
      <c r="I2093" s="13">
        <f t="shared" si="176"/>
        <v>280.25</v>
      </c>
      <c r="J2093" s="13">
        <f t="shared" si="177"/>
        <v>357.5</v>
      </c>
    </row>
    <row r="2094" spans="1:10" s="1" customFormat="1" ht="25.5" customHeight="1" x14ac:dyDescent="0.2">
      <c r="A2094" s="24">
        <v>1019</v>
      </c>
      <c r="B2094" s="21">
        <v>44355</v>
      </c>
      <c r="C2094" s="139" t="s">
        <v>882</v>
      </c>
      <c r="D2094" s="140"/>
      <c r="E2094" s="11" t="s">
        <v>81</v>
      </c>
      <c r="F2094" s="12">
        <v>125</v>
      </c>
      <c r="G2094" s="12">
        <v>15.46</v>
      </c>
      <c r="H2094" s="12">
        <v>19.73</v>
      </c>
      <c r="I2094" s="13">
        <f t="shared" si="176"/>
        <v>1932.5</v>
      </c>
      <c r="J2094" s="13">
        <f t="shared" si="177"/>
        <v>2466.25</v>
      </c>
    </row>
    <row r="2095" spans="1:10" s="1" customFormat="1" ht="25.5" customHeight="1" x14ac:dyDescent="0.2">
      <c r="A2095" s="24">
        <v>1018</v>
      </c>
      <c r="B2095" s="21">
        <v>44356</v>
      </c>
      <c r="C2095" s="139" t="s">
        <v>883</v>
      </c>
      <c r="D2095" s="140"/>
      <c r="E2095" s="11" t="s">
        <v>81</v>
      </c>
      <c r="F2095" s="12">
        <v>130</v>
      </c>
      <c r="G2095" s="12">
        <v>22.04</v>
      </c>
      <c r="H2095" s="12">
        <v>28.12</v>
      </c>
      <c r="I2095" s="13">
        <f t="shared" si="176"/>
        <v>2865.2</v>
      </c>
      <c r="J2095" s="13">
        <f t="shared" si="177"/>
        <v>3655.6</v>
      </c>
    </row>
    <row r="2096" spans="1:10" s="1" customFormat="1" ht="25.5" customHeight="1" x14ac:dyDescent="0.2">
      <c r="A2096" s="35"/>
      <c r="B2096" s="47"/>
      <c r="C2096" s="139" t="s">
        <v>884</v>
      </c>
      <c r="D2096" s="140"/>
      <c r="E2096" s="35"/>
      <c r="F2096" s="35"/>
      <c r="G2096" s="35"/>
      <c r="H2096" s="35"/>
      <c r="I2096" s="35"/>
      <c r="J2096" s="35"/>
    </row>
    <row r="2097" spans="1:10" s="1" customFormat="1" ht="25.5" customHeight="1" x14ac:dyDescent="0.2">
      <c r="A2097" s="19">
        <v>39257</v>
      </c>
      <c r="B2097" s="34">
        <v>40350</v>
      </c>
      <c r="C2097" s="139" t="s">
        <v>885</v>
      </c>
      <c r="D2097" s="140"/>
      <c r="E2097" s="11" t="s">
        <v>81</v>
      </c>
      <c r="F2097" s="12">
        <v>50</v>
      </c>
      <c r="G2097" s="12">
        <v>2.81</v>
      </c>
      <c r="H2097" s="12">
        <v>3.59</v>
      </c>
      <c r="I2097" s="13">
        <f>F2097*G2097</f>
        <v>140.5</v>
      </c>
      <c r="J2097" s="13">
        <f>F2097*H2097</f>
        <v>179.5</v>
      </c>
    </row>
    <row r="2098" spans="1:10" s="1" customFormat="1" ht="25.5" customHeight="1" x14ac:dyDescent="0.2">
      <c r="A2098" s="19">
        <v>39258</v>
      </c>
      <c r="B2098" s="34">
        <v>40715</v>
      </c>
      <c r="C2098" s="139" t="s">
        <v>886</v>
      </c>
      <c r="D2098" s="140"/>
      <c r="E2098" s="11" t="s">
        <v>81</v>
      </c>
      <c r="F2098" s="12">
        <v>60</v>
      </c>
      <c r="G2098" s="12">
        <v>4.17</v>
      </c>
      <c r="H2098" s="12">
        <v>5.32</v>
      </c>
      <c r="I2098" s="13">
        <f>F2098*G2098</f>
        <v>250.2</v>
      </c>
      <c r="J2098" s="13">
        <f>F2098*H2098</f>
        <v>319.20000000000005</v>
      </c>
    </row>
    <row r="2099" spans="1:10" s="1" customFormat="1" ht="25.5" customHeight="1" x14ac:dyDescent="0.2">
      <c r="A2099" s="8"/>
      <c r="B2099" s="149" t="s">
        <v>887</v>
      </c>
      <c r="C2099" s="150"/>
      <c r="D2099" s="150"/>
      <c r="E2099" s="150"/>
      <c r="F2099" s="150"/>
      <c r="G2099" s="151"/>
      <c r="H2099" s="8"/>
      <c r="I2099" s="18">
        <f>SUM(I2086:I2098)</f>
        <v>20400.650000000001</v>
      </c>
      <c r="J2099" s="18">
        <f>SUM(J2086:J2098)</f>
        <v>26000.55</v>
      </c>
    </row>
    <row r="2100" spans="1:10" s="1" customFormat="1" ht="25.5" customHeight="1" x14ac:dyDescent="0.2">
      <c r="A2100" s="8"/>
      <c r="B2100" s="9" t="s">
        <v>888</v>
      </c>
      <c r="C2100" s="137" t="s">
        <v>889</v>
      </c>
      <c r="D2100" s="138"/>
      <c r="E2100" s="8"/>
      <c r="F2100" s="8"/>
      <c r="G2100" s="8"/>
      <c r="H2100" s="8"/>
      <c r="I2100" s="8"/>
      <c r="J2100" s="8"/>
    </row>
    <row r="2101" spans="1:10" s="1" customFormat="1" ht="25.5" customHeight="1" x14ac:dyDescent="0.2">
      <c r="A2101" s="19">
        <v>2574</v>
      </c>
      <c r="B2101" s="21">
        <v>44378</v>
      </c>
      <c r="C2101" s="139" t="s">
        <v>890</v>
      </c>
      <c r="D2101" s="140"/>
      <c r="E2101" s="11" t="s">
        <v>102</v>
      </c>
      <c r="F2101" s="12">
        <v>8</v>
      </c>
      <c r="G2101" s="12">
        <v>8.1999999999999993</v>
      </c>
      <c r="H2101" s="12">
        <v>10.46</v>
      </c>
      <c r="I2101" s="13">
        <f t="shared" ref="I2101:I2113" si="178">F2101*G2101</f>
        <v>65.599999999999994</v>
      </c>
      <c r="J2101" s="13">
        <f t="shared" ref="J2101:J2113" si="179">F2101*H2101</f>
        <v>83.68</v>
      </c>
    </row>
    <row r="2102" spans="1:10" s="1" customFormat="1" ht="25.5" customHeight="1" x14ac:dyDescent="0.2">
      <c r="A2102" s="19">
        <v>2559</v>
      </c>
      <c r="B2102" s="21">
        <v>44379</v>
      </c>
      <c r="C2102" s="139" t="s">
        <v>891</v>
      </c>
      <c r="D2102" s="140"/>
      <c r="E2102" s="11" t="s">
        <v>102</v>
      </c>
      <c r="F2102" s="12">
        <v>12</v>
      </c>
      <c r="G2102" s="12">
        <v>8.5</v>
      </c>
      <c r="H2102" s="12">
        <v>10.85</v>
      </c>
      <c r="I2102" s="13">
        <f t="shared" si="178"/>
        <v>102</v>
      </c>
      <c r="J2102" s="13">
        <f t="shared" si="179"/>
        <v>130.19999999999999</v>
      </c>
    </row>
    <row r="2103" spans="1:10" s="1" customFormat="1" ht="25.5" customHeight="1" x14ac:dyDescent="0.2">
      <c r="A2103" s="19">
        <v>2565</v>
      </c>
      <c r="B2103" s="21">
        <v>44380</v>
      </c>
      <c r="C2103" s="139" t="s">
        <v>892</v>
      </c>
      <c r="D2103" s="140"/>
      <c r="E2103" s="11" t="s">
        <v>102</v>
      </c>
      <c r="F2103" s="12">
        <v>14</v>
      </c>
      <c r="G2103" s="12">
        <v>6.88</v>
      </c>
      <c r="H2103" s="12">
        <v>8.7799999999999994</v>
      </c>
      <c r="I2103" s="13">
        <f t="shared" si="178"/>
        <v>96.32</v>
      </c>
      <c r="J2103" s="13">
        <f t="shared" si="179"/>
        <v>122.91999999999999</v>
      </c>
    </row>
    <row r="2104" spans="1:10" s="1" customFormat="1" ht="25.5" customHeight="1" x14ac:dyDescent="0.2">
      <c r="A2104" s="19">
        <v>2580</v>
      </c>
      <c r="B2104" s="21">
        <v>44381</v>
      </c>
      <c r="C2104" s="139" t="s">
        <v>893</v>
      </c>
      <c r="D2104" s="140"/>
      <c r="E2104" s="11" t="s">
        <v>102</v>
      </c>
      <c r="F2104" s="12">
        <v>3</v>
      </c>
      <c r="G2104" s="12">
        <v>10.83</v>
      </c>
      <c r="H2104" s="12">
        <v>13.82</v>
      </c>
      <c r="I2104" s="13">
        <f t="shared" si="178"/>
        <v>32.49</v>
      </c>
      <c r="J2104" s="13">
        <f t="shared" si="179"/>
        <v>41.46</v>
      </c>
    </row>
    <row r="2105" spans="1:10" s="1" customFormat="1" ht="25.5" customHeight="1" x14ac:dyDescent="0.2">
      <c r="A2105" s="19">
        <v>2593</v>
      </c>
      <c r="B2105" s="21">
        <v>44382</v>
      </c>
      <c r="C2105" s="139" t="s">
        <v>894</v>
      </c>
      <c r="D2105" s="140"/>
      <c r="E2105" s="11" t="s">
        <v>102</v>
      </c>
      <c r="F2105" s="12">
        <v>5</v>
      </c>
      <c r="G2105" s="12">
        <v>7.11</v>
      </c>
      <c r="H2105" s="12">
        <v>9.07</v>
      </c>
      <c r="I2105" s="13">
        <f t="shared" si="178"/>
        <v>35.550000000000004</v>
      </c>
      <c r="J2105" s="13">
        <f t="shared" si="179"/>
        <v>45.35</v>
      </c>
    </row>
    <row r="2106" spans="1:10" s="1" customFormat="1" ht="25.5" customHeight="1" x14ac:dyDescent="0.2">
      <c r="A2106" s="19">
        <v>39346</v>
      </c>
      <c r="B2106" s="21">
        <v>44383</v>
      </c>
      <c r="C2106" s="139" t="s">
        <v>895</v>
      </c>
      <c r="D2106" s="140"/>
      <c r="E2106" s="11" t="s">
        <v>102</v>
      </c>
      <c r="F2106" s="12">
        <v>8</v>
      </c>
      <c r="G2106" s="12">
        <v>2.09</v>
      </c>
      <c r="H2106" s="12">
        <v>2.67</v>
      </c>
      <c r="I2106" s="13">
        <f t="shared" si="178"/>
        <v>16.72</v>
      </c>
      <c r="J2106" s="13">
        <f t="shared" si="179"/>
        <v>21.36</v>
      </c>
    </row>
    <row r="2107" spans="1:10" s="1" customFormat="1" ht="25.5" customHeight="1" x14ac:dyDescent="0.2">
      <c r="A2107" s="19">
        <v>7543</v>
      </c>
      <c r="B2107" s="21">
        <v>44384</v>
      </c>
      <c r="C2107" s="139" t="s">
        <v>896</v>
      </c>
      <c r="D2107" s="140"/>
      <c r="E2107" s="11" t="s">
        <v>102</v>
      </c>
      <c r="F2107" s="12">
        <v>14</v>
      </c>
      <c r="G2107" s="12">
        <v>3.39</v>
      </c>
      <c r="H2107" s="12">
        <v>4.33</v>
      </c>
      <c r="I2107" s="13">
        <f t="shared" si="178"/>
        <v>47.46</v>
      </c>
      <c r="J2107" s="13">
        <f t="shared" si="179"/>
        <v>60.620000000000005</v>
      </c>
    </row>
    <row r="2108" spans="1:10" s="1" customFormat="1" ht="25.5" customHeight="1" x14ac:dyDescent="0.2">
      <c r="A2108" s="19">
        <v>39351</v>
      </c>
      <c r="B2108" s="21">
        <v>44385</v>
      </c>
      <c r="C2108" s="139" t="s">
        <v>897</v>
      </c>
      <c r="D2108" s="140"/>
      <c r="E2108" s="11" t="s">
        <v>102</v>
      </c>
      <c r="F2108" s="12">
        <v>20</v>
      </c>
      <c r="G2108" s="12">
        <v>2.6</v>
      </c>
      <c r="H2108" s="12">
        <v>3.32</v>
      </c>
      <c r="I2108" s="13">
        <f t="shared" si="178"/>
        <v>52</v>
      </c>
      <c r="J2108" s="13">
        <f t="shared" si="179"/>
        <v>66.399999999999991</v>
      </c>
    </row>
    <row r="2109" spans="1:10" s="1" customFormat="1" ht="25.5" customHeight="1" x14ac:dyDescent="0.2">
      <c r="A2109" s="22" t="s">
        <v>308</v>
      </c>
      <c r="B2109" s="21">
        <v>44386</v>
      </c>
      <c r="C2109" s="139" t="s">
        <v>898</v>
      </c>
      <c r="D2109" s="140"/>
      <c r="E2109" s="11" t="s">
        <v>102</v>
      </c>
      <c r="F2109" s="12">
        <v>300</v>
      </c>
      <c r="G2109" s="12">
        <v>4.9000000000000004</v>
      </c>
      <c r="H2109" s="12">
        <v>6.25</v>
      </c>
      <c r="I2109" s="13">
        <f t="shared" si="178"/>
        <v>1470</v>
      </c>
      <c r="J2109" s="13">
        <f t="shared" si="179"/>
        <v>1875</v>
      </c>
    </row>
    <row r="2110" spans="1:10" s="1" customFormat="1" ht="25.5" customHeight="1" x14ac:dyDescent="0.2">
      <c r="A2110" s="22" t="s">
        <v>308</v>
      </c>
      <c r="B2110" s="34">
        <v>40380</v>
      </c>
      <c r="C2110" s="139" t="s">
        <v>899</v>
      </c>
      <c r="D2110" s="140"/>
      <c r="E2110" s="11" t="s">
        <v>102</v>
      </c>
      <c r="F2110" s="12">
        <v>150</v>
      </c>
      <c r="G2110" s="12">
        <v>9.0500000000000007</v>
      </c>
      <c r="H2110" s="12">
        <v>11.55</v>
      </c>
      <c r="I2110" s="13">
        <f t="shared" si="178"/>
        <v>1357.5</v>
      </c>
      <c r="J2110" s="13">
        <f t="shared" si="179"/>
        <v>1732.5</v>
      </c>
    </row>
    <row r="2111" spans="1:10" s="1" customFormat="1" ht="25.5" customHeight="1" x14ac:dyDescent="0.2">
      <c r="A2111" s="19">
        <v>39771</v>
      </c>
      <c r="B2111" s="34">
        <v>40745</v>
      </c>
      <c r="C2111" s="139" t="s">
        <v>900</v>
      </c>
      <c r="D2111" s="140"/>
      <c r="E2111" s="11" t="s">
        <v>102</v>
      </c>
      <c r="F2111" s="12">
        <v>3</v>
      </c>
      <c r="G2111" s="12">
        <v>15.43</v>
      </c>
      <c r="H2111" s="12">
        <v>19.690000000000001</v>
      </c>
      <c r="I2111" s="13">
        <f t="shared" si="178"/>
        <v>46.29</v>
      </c>
      <c r="J2111" s="13">
        <f t="shared" si="179"/>
        <v>59.070000000000007</v>
      </c>
    </row>
    <row r="2112" spans="1:10" s="1" customFormat="1" ht="25.5" customHeight="1" x14ac:dyDescent="0.2">
      <c r="A2112" s="27" t="s">
        <v>901</v>
      </c>
      <c r="B2112" s="34">
        <v>41111</v>
      </c>
      <c r="C2112" s="139" t="s">
        <v>902</v>
      </c>
      <c r="D2112" s="140"/>
      <c r="E2112" s="11" t="s">
        <v>102</v>
      </c>
      <c r="F2112" s="12">
        <v>8</v>
      </c>
      <c r="G2112" s="12">
        <v>80.319999999999993</v>
      </c>
      <c r="H2112" s="12">
        <v>102.48</v>
      </c>
      <c r="I2112" s="13">
        <f t="shared" si="178"/>
        <v>642.55999999999995</v>
      </c>
      <c r="J2112" s="13">
        <f t="shared" si="179"/>
        <v>819.84</v>
      </c>
    </row>
    <row r="2113" spans="1:10" s="1" customFormat="1" ht="25.5" customHeight="1" x14ac:dyDescent="0.2">
      <c r="A2113" s="27" t="s">
        <v>696</v>
      </c>
      <c r="B2113" s="34">
        <v>41476</v>
      </c>
      <c r="C2113" s="139" t="s">
        <v>903</v>
      </c>
      <c r="D2113" s="140"/>
      <c r="E2113" s="11" t="s">
        <v>102</v>
      </c>
      <c r="F2113" s="12">
        <v>8</v>
      </c>
      <c r="G2113" s="12">
        <v>165.35</v>
      </c>
      <c r="H2113" s="12">
        <v>210.97</v>
      </c>
      <c r="I2113" s="13">
        <f t="shared" si="178"/>
        <v>1322.8</v>
      </c>
      <c r="J2113" s="13">
        <f t="shared" si="179"/>
        <v>1687.76</v>
      </c>
    </row>
    <row r="2114" spans="1:10" s="1" customFormat="1" ht="25.5" customHeight="1" x14ac:dyDescent="0.2">
      <c r="A2114" s="8"/>
      <c r="B2114" s="149" t="s">
        <v>904</v>
      </c>
      <c r="C2114" s="150"/>
      <c r="D2114" s="150"/>
      <c r="E2114" s="150"/>
      <c r="F2114" s="150"/>
      <c r="G2114" s="151"/>
      <c r="H2114" s="8"/>
      <c r="I2114" s="18">
        <f>SUM(I2101:I2113)</f>
        <v>5287.29</v>
      </c>
      <c r="J2114" s="18">
        <f>SUM(J2101:J2113)</f>
        <v>6746.16</v>
      </c>
    </row>
    <row r="2115" spans="1:10" s="1" customFormat="1" ht="25.5" customHeight="1" x14ac:dyDescent="0.2">
      <c r="A2115" s="8"/>
      <c r="B2115" s="9" t="s">
        <v>905</v>
      </c>
      <c r="C2115" s="137" t="s">
        <v>906</v>
      </c>
      <c r="D2115" s="138"/>
      <c r="E2115" s="8"/>
      <c r="F2115" s="8"/>
      <c r="G2115" s="8"/>
      <c r="H2115" s="8"/>
      <c r="I2115" s="8"/>
      <c r="J2115" s="8"/>
    </row>
    <row r="2116" spans="1:10" s="1" customFormat="1" ht="25.5" customHeight="1" x14ac:dyDescent="0.2">
      <c r="A2116" s="22" t="s">
        <v>308</v>
      </c>
      <c r="B2116" s="21">
        <v>44409</v>
      </c>
      <c r="C2116" s="139" t="s">
        <v>907</v>
      </c>
      <c r="D2116" s="140"/>
      <c r="E2116" s="11" t="s">
        <v>102</v>
      </c>
      <c r="F2116" s="12">
        <v>4</v>
      </c>
      <c r="G2116" s="12">
        <v>53.79</v>
      </c>
      <c r="H2116" s="12">
        <v>68.63</v>
      </c>
      <c r="I2116" s="13">
        <f t="shared" ref="I2116:I2127" si="180">F2116*G2116</f>
        <v>215.16</v>
      </c>
      <c r="J2116" s="13">
        <f t="shared" ref="J2116:J2127" si="181">F2116*H2116</f>
        <v>274.52</v>
      </c>
    </row>
    <row r="2117" spans="1:10" s="1" customFormat="1" ht="25.5" customHeight="1" x14ac:dyDescent="0.2">
      <c r="A2117" s="22" t="s">
        <v>308</v>
      </c>
      <c r="B2117" s="21">
        <v>44410</v>
      </c>
      <c r="C2117" s="139" t="s">
        <v>908</v>
      </c>
      <c r="D2117" s="140"/>
      <c r="E2117" s="11" t="s">
        <v>102</v>
      </c>
      <c r="F2117" s="12">
        <v>1</v>
      </c>
      <c r="G2117" s="12">
        <v>53.79</v>
      </c>
      <c r="H2117" s="12">
        <v>68.63</v>
      </c>
      <c r="I2117" s="13">
        <f t="shared" si="180"/>
        <v>53.79</v>
      </c>
      <c r="J2117" s="13">
        <f t="shared" si="181"/>
        <v>68.63</v>
      </c>
    </row>
    <row r="2118" spans="1:10" s="1" customFormat="1" ht="25.5" customHeight="1" x14ac:dyDescent="0.2">
      <c r="A2118" s="22" t="s">
        <v>308</v>
      </c>
      <c r="B2118" s="21">
        <v>44411</v>
      </c>
      <c r="C2118" s="139" t="s">
        <v>909</v>
      </c>
      <c r="D2118" s="140"/>
      <c r="E2118" s="11" t="s">
        <v>102</v>
      </c>
      <c r="F2118" s="12">
        <v>1</v>
      </c>
      <c r="G2118" s="12">
        <v>115.99</v>
      </c>
      <c r="H2118" s="12">
        <v>147.99</v>
      </c>
      <c r="I2118" s="13">
        <f t="shared" si="180"/>
        <v>115.99</v>
      </c>
      <c r="J2118" s="13">
        <f t="shared" si="181"/>
        <v>147.99</v>
      </c>
    </row>
    <row r="2119" spans="1:10" s="1" customFormat="1" ht="25.5" customHeight="1" x14ac:dyDescent="0.2">
      <c r="A2119" s="22" t="s">
        <v>308</v>
      </c>
      <c r="B2119" s="21">
        <v>44412</v>
      </c>
      <c r="C2119" s="139" t="s">
        <v>910</v>
      </c>
      <c r="D2119" s="140"/>
      <c r="E2119" s="11" t="s">
        <v>102</v>
      </c>
      <c r="F2119" s="12">
        <v>3</v>
      </c>
      <c r="G2119" s="12">
        <v>232.9</v>
      </c>
      <c r="H2119" s="12">
        <v>297.16000000000003</v>
      </c>
      <c r="I2119" s="13">
        <f t="shared" si="180"/>
        <v>698.7</v>
      </c>
      <c r="J2119" s="13">
        <f t="shared" si="181"/>
        <v>891.48</v>
      </c>
    </row>
    <row r="2120" spans="1:10" s="1" customFormat="1" ht="25.5" customHeight="1" x14ac:dyDescent="0.2">
      <c r="A2120" s="22" t="s">
        <v>308</v>
      </c>
      <c r="B2120" s="21">
        <v>44413</v>
      </c>
      <c r="C2120" s="139" t="s">
        <v>911</v>
      </c>
      <c r="D2120" s="140"/>
      <c r="E2120" s="11" t="s">
        <v>102</v>
      </c>
      <c r="F2120" s="12">
        <v>1</v>
      </c>
      <c r="G2120" s="12">
        <v>120</v>
      </c>
      <c r="H2120" s="12">
        <v>153.11000000000001</v>
      </c>
      <c r="I2120" s="13">
        <f t="shared" si="180"/>
        <v>120</v>
      </c>
      <c r="J2120" s="13">
        <f t="shared" si="181"/>
        <v>153.11000000000001</v>
      </c>
    </row>
    <row r="2121" spans="1:10" s="1" customFormat="1" ht="25.5" customHeight="1" x14ac:dyDescent="0.2">
      <c r="A2121" s="22" t="s">
        <v>308</v>
      </c>
      <c r="B2121" s="21">
        <v>44414</v>
      </c>
      <c r="C2121" s="139" t="s">
        <v>912</v>
      </c>
      <c r="D2121" s="140"/>
      <c r="E2121" s="11" t="s">
        <v>102</v>
      </c>
      <c r="F2121" s="12">
        <v>1</v>
      </c>
      <c r="G2121" s="12">
        <v>66.87</v>
      </c>
      <c r="H2121" s="12">
        <v>85.32</v>
      </c>
      <c r="I2121" s="13">
        <f t="shared" si="180"/>
        <v>66.87</v>
      </c>
      <c r="J2121" s="13">
        <f t="shared" si="181"/>
        <v>85.32</v>
      </c>
    </row>
    <row r="2122" spans="1:10" s="1" customFormat="1" ht="25.5" customHeight="1" x14ac:dyDescent="0.2">
      <c r="A2122" s="22" t="s">
        <v>308</v>
      </c>
      <c r="B2122" s="21">
        <v>44415</v>
      </c>
      <c r="C2122" s="139" t="s">
        <v>913</v>
      </c>
      <c r="D2122" s="140"/>
      <c r="E2122" s="11" t="s">
        <v>102</v>
      </c>
      <c r="F2122" s="12">
        <v>1</v>
      </c>
      <c r="G2122" s="12">
        <v>89.11</v>
      </c>
      <c r="H2122" s="12">
        <v>113.7</v>
      </c>
      <c r="I2122" s="13">
        <f t="shared" si="180"/>
        <v>89.11</v>
      </c>
      <c r="J2122" s="13">
        <f t="shared" si="181"/>
        <v>113.7</v>
      </c>
    </row>
    <row r="2123" spans="1:10" s="1" customFormat="1" ht="25.5" customHeight="1" x14ac:dyDescent="0.2">
      <c r="A2123" s="22" t="s">
        <v>308</v>
      </c>
      <c r="B2123" s="21">
        <v>44416</v>
      </c>
      <c r="C2123" s="139" t="s">
        <v>914</v>
      </c>
      <c r="D2123" s="140"/>
      <c r="E2123" s="11" t="s">
        <v>102</v>
      </c>
      <c r="F2123" s="12">
        <v>1</v>
      </c>
      <c r="G2123" s="12">
        <v>98.32</v>
      </c>
      <c r="H2123" s="12">
        <v>125.45</v>
      </c>
      <c r="I2123" s="13">
        <f t="shared" si="180"/>
        <v>98.32</v>
      </c>
      <c r="J2123" s="13">
        <f t="shared" si="181"/>
        <v>125.45</v>
      </c>
    </row>
    <row r="2124" spans="1:10" s="1" customFormat="1" ht="25.5" customHeight="1" x14ac:dyDescent="0.2">
      <c r="A2124" s="27" t="s">
        <v>915</v>
      </c>
      <c r="B2124" s="21">
        <v>44417</v>
      </c>
      <c r="C2124" s="139" t="s">
        <v>916</v>
      </c>
      <c r="D2124" s="140"/>
      <c r="E2124" s="11" t="s">
        <v>102</v>
      </c>
      <c r="F2124" s="12">
        <v>1</v>
      </c>
      <c r="G2124" s="12">
        <v>81.760000000000005</v>
      </c>
      <c r="H2124" s="12">
        <v>104.31</v>
      </c>
      <c r="I2124" s="13">
        <f t="shared" si="180"/>
        <v>81.760000000000005</v>
      </c>
      <c r="J2124" s="13">
        <f t="shared" si="181"/>
        <v>104.31</v>
      </c>
    </row>
    <row r="2125" spans="1:10" s="1" customFormat="1" ht="25.5" customHeight="1" x14ac:dyDescent="0.2">
      <c r="A2125" s="27" t="s">
        <v>917</v>
      </c>
      <c r="B2125" s="34">
        <v>40411</v>
      </c>
      <c r="C2125" s="139" t="s">
        <v>918</v>
      </c>
      <c r="D2125" s="140"/>
      <c r="E2125" s="11" t="s">
        <v>102</v>
      </c>
      <c r="F2125" s="12">
        <v>1</v>
      </c>
      <c r="G2125" s="12">
        <v>72.62</v>
      </c>
      <c r="H2125" s="12">
        <v>92.66</v>
      </c>
      <c r="I2125" s="13">
        <f t="shared" si="180"/>
        <v>72.62</v>
      </c>
      <c r="J2125" s="13">
        <f t="shared" si="181"/>
        <v>92.66</v>
      </c>
    </row>
    <row r="2126" spans="1:10" s="1" customFormat="1" ht="25.5" customHeight="1" x14ac:dyDescent="0.2">
      <c r="A2126" s="22" t="s">
        <v>308</v>
      </c>
      <c r="B2126" s="34">
        <v>40776</v>
      </c>
      <c r="C2126" s="139" t="s">
        <v>919</v>
      </c>
      <c r="D2126" s="140"/>
      <c r="E2126" s="11" t="s">
        <v>102</v>
      </c>
      <c r="F2126" s="12">
        <v>3</v>
      </c>
      <c r="G2126" s="12">
        <v>17.100000000000001</v>
      </c>
      <c r="H2126" s="12">
        <v>21.82</v>
      </c>
      <c r="I2126" s="13">
        <f t="shared" si="180"/>
        <v>51.300000000000004</v>
      </c>
      <c r="J2126" s="13">
        <f t="shared" si="181"/>
        <v>65.460000000000008</v>
      </c>
    </row>
    <row r="2127" spans="1:10" s="1" customFormat="1" ht="25.5" customHeight="1" x14ac:dyDescent="0.2">
      <c r="A2127" s="22" t="s">
        <v>308</v>
      </c>
      <c r="B2127" s="34">
        <v>41142</v>
      </c>
      <c r="C2127" s="139" t="s">
        <v>920</v>
      </c>
      <c r="D2127" s="140"/>
      <c r="E2127" s="11" t="s">
        <v>102</v>
      </c>
      <c r="F2127" s="12">
        <v>2</v>
      </c>
      <c r="G2127" s="12">
        <v>17.100000000000001</v>
      </c>
      <c r="H2127" s="12">
        <v>21.82</v>
      </c>
      <c r="I2127" s="13">
        <f t="shared" si="180"/>
        <v>34.200000000000003</v>
      </c>
      <c r="J2127" s="13">
        <f t="shared" si="181"/>
        <v>43.64</v>
      </c>
    </row>
    <row r="2128" spans="1:10" s="1" customFormat="1" ht="25.5" customHeight="1" x14ac:dyDescent="0.2">
      <c r="A2128" s="8"/>
      <c r="B2128" s="149" t="s">
        <v>921</v>
      </c>
      <c r="C2128" s="150"/>
      <c r="D2128" s="150"/>
      <c r="E2128" s="150"/>
      <c r="F2128" s="150"/>
      <c r="G2128" s="151"/>
      <c r="H2128" s="8"/>
      <c r="I2128" s="18">
        <f>SUM(I2116:I2127)</f>
        <v>1697.8200000000002</v>
      </c>
      <c r="J2128" s="18">
        <f>SUM(J2116:J2127)</f>
        <v>2166.27</v>
      </c>
    </row>
    <row r="2129" spans="1:10" s="1" customFormat="1" ht="25.5" customHeight="1" x14ac:dyDescent="0.2">
      <c r="A2129" s="8"/>
      <c r="B2129" s="9" t="s">
        <v>922</v>
      </c>
      <c r="C2129" s="137" t="s">
        <v>923</v>
      </c>
      <c r="D2129" s="138"/>
      <c r="E2129" s="8"/>
      <c r="F2129" s="8"/>
      <c r="G2129" s="8"/>
      <c r="H2129" s="8"/>
      <c r="I2129" s="8"/>
      <c r="J2129" s="8"/>
    </row>
    <row r="2130" spans="1:10" s="1" customFormat="1" ht="25.5" customHeight="1" x14ac:dyDescent="0.2">
      <c r="A2130" s="19">
        <v>93655</v>
      </c>
      <c r="B2130" s="21">
        <v>44440</v>
      </c>
      <c r="C2130" s="139" t="s">
        <v>924</v>
      </c>
      <c r="D2130" s="140"/>
      <c r="E2130" s="11" t="s">
        <v>102</v>
      </c>
      <c r="F2130" s="12">
        <v>41</v>
      </c>
      <c r="G2130" s="12">
        <v>11.19</v>
      </c>
      <c r="H2130" s="12">
        <v>14.28</v>
      </c>
      <c r="I2130" s="13">
        <f t="shared" ref="I2130:I2145" si="182">F2130*G2130</f>
        <v>458.78999999999996</v>
      </c>
      <c r="J2130" s="13">
        <f t="shared" ref="J2130:J2145" si="183">F2130*H2130</f>
        <v>585.48</v>
      </c>
    </row>
    <row r="2131" spans="1:10" s="1" customFormat="1" ht="25.5" customHeight="1" x14ac:dyDescent="0.2">
      <c r="A2131" s="19">
        <v>93656</v>
      </c>
      <c r="B2131" s="21">
        <v>44441</v>
      </c>
      <c r="C2131" s="139" t="s">
        <v>925</v>
      </c>
      <c r="D2131" s="140"/>
      <c r="E2131" s="11" t="s">
        <v>102</v>
      </c>
      <c r="F2131" s="12">
        <v>25</v>
      </c>
      <c r="G2131" s="12">
        <v>11.19</v>
      </c>
      <c r="H2131" s="12">
        <v>14.28</v>
      </c>
      <c r="I2131" s="13">
        <f t="shared" si="182"/>
        <v>279.75</v>
      </c>
      <c r="J2131" s="13">
        <f t="shared" si="183"/>
        <v>357</v>
      </c>
    </row>
    <row r="2132" spans="1:10" s="1" customFormat="1" ht="25.5" customHeight="1" x14ac:dyDescent="0.2">
      <c r="A2132" s="19">
        <v>93667</v>
      </c>
      <c r="B2132" s="21">
        <v>44442</v>
      </c>
      <c r="C2132" s="139" t="s">
        <v>926</v>
      </c>
      <c r="D2132" s="140"/>
      <c r="E2132" s="11" t="s">
        <v>102</v>
      </c>
      <c r="F2132" s="12">
        <v>1</v>
      </c>
      <c r="G2132" s="12">
        <v>63.11</v>
      </c>
      <c r="H2132" s="12">
        <v>80.52</v>
      </c>
      <c r="I2132" s="13">
        <f t="shared" si="182"/>
        <v>63.11</v>
      </c>
      <c r="J2132" s="13">
        <f t="shared" si="183"/>
        <v>80.52</v>
      </c>
    </row>
    <row r="2133" spans="1:10" s="1" customFormat="1" ht="25.5" customHeight="1" x14ac:dyDescent="0.2">
      <c r="A2133" s="19">
        <v>93669</v>
      </c>
      <c r="B2133" s="21">
        <v>44443</v>
      </c>
      <c r="C2133" s="139" t="s">
        <v>927</v>
      </c>
      <c r="D2133" s="140"/>
      <c r="E2133" s="11" t="s">
        <v>102</v>
      </c>
      <c r="F2133" s="12">
        <v>2</v>
      </c>
      <c r="G2133" s="12">
        <v>66.849999999999994</v>
      </c>
      <c r="H2133" s="12">
        <v>85.29</v>
      </c>
      <c r="I2133" s="13">
        <f t="shared" si="182"/>
        <v>133.69999999999999</v>
      </c>
      <c r="J2133" s="13">
        <f t="shared" si="183"/>
        <v>170.58</v>
      </c>
    </row>
    <row r="2134" spans="1:10" s="1" customFormat="1" ht="25.5" customHeight="1" x14ac:dyDescent="0.2">
      <c r="A2134" s="19">
        <v>93671</v>
      </c>
      <c r="B2134" s="21">
        <v>44444</v>
      </c>
      <c r="C2134" s="139" t="s">
        <v>928</v>
      </c>
      <c r="D2134" s="140"/>
      <c r="E2134" s="11" t="s">
        <v>102</v>
      </c>
      <c r="F2134" s="12">
        <v>3</v>
      </c>
      <c r="G2134" s="12">
        <v>69.86</v>
      </c>
      <c r="H2134" s="12">
        <v>89.13</v>
      </c>
      <c r="I2134" s="13">
        <f t="shared" si="182"/>
        <v>209.57999999999998</v>
      </c>
      <c r="J2134" s="13">
        <f t="shared" si="183"/>
        <v>267.39</v>
      </c>
    </row>
    <row r="2135" spans="1:10" s="1" customFormat="1" ht="25.5" customHeight="1" x14ac:dyDescent="0.2">
      <c r="A2135" s="19">
        <v>93673</v>
      </c>
      <c r="B2135" s="21">
        <v>44445</v>
      </c>
      <c r="C2135" s="139" t="s">
        <v>929</v>
      </c>
      <c r="D2135" s="140"/>
      <c r="E2135" s="11" t="s">
        <v>102</v>
      </c>
      <c r="F2135" s="12">
        <v>1</v>
      </c>
      <c r="G2135" s="12">
        <v>80.959999999999994</v>
      </c>
      <c r="H2135" s="12">
        <v>103.3</v>
      </c>
      <c r="I2135" s="13">
        <f t="shared" si="182"/>
        <v>80.959999999999994</v>
      </c>
      <c r="J2135" s="13">
        <f t="shared" si="183"/>
        <v>103.3</v>
      </c>
    </row>
    <row r="2136" spans="1:10" s="1" customFormat="1" ht="25.5" customHeight="1" x14ac:dyDescent="0.2">
      <c r="A2136" s="27" t="s">
        <v>930</v>
      </c>
      <c r="B2136" s="21">
        <v>44446</v>
      </c>
      <c r="C2136" s="139" t="s">
        <v>931</v>
      </c>
      <c r="D2136" s="140"/>
      <c r="E2136" s="11" t="s">
        <v>102</v>
      </c>
      <c r="F2136" s="12">
        <v>1</v>
      </c>
      <c r="G2136" s="12">
        <v>84.91</v>
      </c>
      <c r="H2136" s="12">
        <v>108.33</v>
      </c>
      <c r="I2136" s="13">
        <f t="shared" si="182"/>
        <v>84.91</v>
      </c>
      <c r="J2136" s="13">
        <f t="shared" si="183"/>
        <v>108.33</v>
      </c>
    </row>
    <row r="2137" spans="1:10" s="1" customFormat="1" ht="25.5" customHeight="1" x14ac:dyDescent="0.2">
      <c r="A2137" s="27" t="s">
        <v>932</v>
      </c>
      <c r="B2137" s="21">
        <v>44447</v>
      </c>
      <c r="C2137" s="139" t="s">
        <v>933</v>
      </c>
      <c r="D2137" s="140"/>
      <c r="E2137" s="11" t="s">
        <v>102</v>
      </c>
      <c r="F2137" s="12">
        <v>1</v>
      </c>
      <c r="G2137" s="12">
        <v>84.91</v>
      </c>
      <c r="H2137" s="12">
        <v>108.33</v>
      </c>
      <c r="I2137" s="13">
        <f t="shared" si="182"/>
        <v>84.91</v>
      </c>
      <c r="J2137" s="13">
        <f t="shared" si="183"/>
        <v>108.33</v>
      </c>
    </row>
    <row r="2138" spans="1:10" s="1" customFormat="1" ht="25.5" customHeight="1" x14ac:dyDescent="0.2">
      <c r="A2138" s="27" t="s">
        <v>78</v>
      </c>
      <c r="B2138" s="21">
        <v>44448</v>
      </c>
      <c r="C2138" s="139" t="s">
        <v>934</v>
      </c>
      <c r="D2138" s="140"/>
      <c r="E2138" s="11" t="s">
        <v>102</v>
      </c>
      <c r="F2138" s="12">
        <v>2</v>
      </c>
      <c r="G2138" s="12">
        <v>72.77</v>
      </c>
      <c r="H2138" s="12">
        <v>92.84</v>
      </c>
      <c r="I2138" s="13">
        <f t="shared" si="182"/>
        <v>145.54</v>
      </c>
      <c r="J2138" s="13">
        <f t="shared" si="183"/>
        <v>185.68</v>
      </c>
    </row>
    <row r="2139" spans="1:10" s="1" customFormat="1" ht="25.5" customHeight="1" x14ac:dyDescent="0.2">
      <c r="A2139" s="27" t="s">
        <v>78</v>
      </c>
      <c r="B2139" s="34">
        <v>40442</v>
      </c>
      <c r="C2139" s="139" t="s">
        <v>935</v>
      </c>
      <c r="D2139" s="140"/>
      <c r="E2139" s="11" t="s">
        <v>102</v>
      </c>
      <c r="F2139" s="12">
        <v>1</v>
      </c>
      <c r="G2139" s="12">
        <v>72.77</v>
      </c>
      <c r="H2139" s="12">
        <v>92.84</v>
      </c>
      <c r="I2139" s="13">
        <f t="shared" si="182"/>
        <v>72.77</v>
      </c>
      <c r="J2139" s="13">
        <f t="shared" si="183"/>
        <v>92.84</v>
      </c>
    </row>
    <row r="2140" spans="1:10" s="1" customFormat="1" ht="25.5" customHeight="1" x14ac:dyDescent="0.2">
      <c r="A2140" s="22" t="s">
        <v>308</v>
      </c>
      <c r="B2140" s="34">
        <v>40807</v>
      </c>
      <c r="C2140" s="139" t="s">
        <v>936</v>
      </c>
      <c r="D2140" s="140"/>
      <c r="E2140" s="11" t="s">
        <v>102</v>
      </c>
      <c r="F2140" s="12">
        <v>1</v>
      </c>
      <c r="G2140" s="12">
        <v>750</v>
      </c>
      <c r="H2140" s="12">
        <v>956.93</v>
      </c>
      <c r="I2140" s="13">
        <f t="shared" si="182"/>
        <v>750</v>
      </c>
      <c r="J2140" s="13">
        <f t="shared" si="183"/>
        <v>956.93</v>
      </c>
    </row>
    <row r="2141" spans="1:10" s="1" customFormat="1" ht="25.5" customHeight="1" x14ac:dyDescent="0.2">
      <c r="A2141" s="27" t="s">
        <v>937</v>
      </c>
      <c r="B2141" s="34">
        <v>41173</v>
      </c>
      <c r="C2141" s="139" t="s">
        <v>938</v>
      </c>
      <c r="D2141" s="140"/>
      <c r="E2141" s="11" t="s">
        <v>102</v>
      </c>
      <c r="F2141" s="12">
        <v>1</v>
      </c>
      <c r="G2141" s="12">
        <v>397.29</v>
      </c>
      <c r="H2141" s="12">
        <v>506.9</v>
      </c>
      <c r="I2141" s="13">
        <f t="shared" si="182"/>
        <v>397.29</v>
      </c>
      <c r="J2141" s="13">
        <f t="shared" si="183"/>
        <v>506.9</v>
      </c>
    </row>
    <row r="2142" spans="1:10" s="1" customFormat="1" ht="25.5" customHeight="1" x14ac:dyDescent="0.2">
      <c r="A2142" s="27" t="s">
        <v>939</v>
      </c>
      <c r="B2142" s="34">
        <v>41538</v>
      </c>
      <c r="C2142" s="139" t="s">
        <v>940</v>
      </c>
      <c r="D2142" s="140"/>
      <c r="E2142" s="11" t="s">
        <v>102</v>
      </c>
      <c r="F2142" s="12">
        <v>1</v>
      </c>
      <c r="G2142" s="12">
        <v>762.97</v>
      </c>
      <c r="H2142" s="12">
        <v>973.47</v>
      </c>
      <c r="I2142" s="13">
        <f t="shared" si="182"/>
        <v>762.97</v>
      </c>
      <c r="J2142" s="13">
        <f t="shared" si="183"/>
        <v>973.47</v>
      </c>
    </row>
    <row r="2143" spans="1:10" s="1" customFormat="1" ht="25.5" customHeight="1" x14ac:dyDescent="0.2">
      <c r="A2143" s="27" t="s">
        <v>78</v>
      </c>
      <c r="B2143" s="34">
        <v>41903</v>
      </c>
      <c r="C2143" s="139" t="s">
        <v>941</v>
      </c>
      <c r="D2143" s="140"/>
      <c r="E2143" s="11" t="s">
        <v>102</v>
      </c>
      <c r="F2143" s="12">
        <v>57</v>
      </c>
      <c r="G2143" s="12">
        <v>126.31</v>
      </c>
      <c r="H2143" s="12">
        <v>161.15</v>
      </c>
      <c r="I2143" s="13">
        <f t="shared" si="182"/>
        <v>7199.67</v>
      </c>
      <c r="J2143" s="13">
        <f t="shared" si="183"/>
        <v>9185.5500000000011</v>
      </c>
    </row>
    <row r="2144" spans="1:10" s="1" customFormat="1" ht="25.5" customHeight="1" x14ac:dyDescent="0.2">
      <c r="A2144" s="27" t="s">
        <v>78</v>
      </c>
      <c r="B2144" s="34">
        <v>42268</v>
      </c>
      <c r="C2144" s="139" t="s">
        <v>942</v>
      </c>
      <c r="D2144" s="140"/>
      <c r="E2144" s="11" t="s">
        <v>102</v>
      </c>
      <c r="F2144" s="12">
        <v>1</v>
      </c>
      <c r="G2144" s="12">
        <v>157.28</v>
      </c>
      <c r="H2144" s="12">
        <v>200.67</v>
      </c>
      <c r="I2144" s="13">
        <f t="shared" si="182"/>
        <v>157.28</v>
      </c>
      <c r="J2144" s="13">
        <f t="shared" si="183"/>
        <v>200.67</v>
      </c>
    </row>
    <row r="2145" spans="1:10" s="1" customFormat="1" ht="25.5" customHeight="1" x14ac:dyDescent="0.2">
      <c r="A2145" s="27" t="s">
        <v>943</v>
      </c>
      <c r="B2145" s="34">
        <v>42634</v>
      </c>
      <c r="C2145" s="139" t="s">
        <v>944</v>
      </c>
      <c r="D2145" s="140"/>
      <c r="E2145" s="11" t="s">
        <v>102</v>
      </c>
      <c r="F2145" s="12">
        <v>4</v>
      </c>
      <c r="G2145" s="12">
        <v>99.53</v>
      </c>
      <c r="H2145" s="12">
        <v>126.99</v>
      </c>
      <c r="I2145" s="13">
        <f t="shared" si="182"/>
        <v>398.12</v>
      </c>
      <c r="J2145" s="13">
        <f t="shared" si="183"/>
        <v>507.96</v>
      </c>
    </row>
    <row r="2146" spans="1:10" s="1" customFormat="1" ht="25.5" customHeight="1" x14ac:dyDescent="0.2">
      <c r="A2146" s="8"/>
      <c r="B2146" s="149" t="s">
        <v>945</v>
      </c>
      <c r="C2146" s="150"/>
      <c r="D2146" s="150"/>
      <c r="E2146" s="150"/>
      <c r="F2146" s="150"/>
      <c r="G2146" s="151"/>
      <c r="H2146" s="8"/>
      <c r="I2146" s="18">
        <f>SUM(I2130:I2145)</f>
        <v>11279.350000000002</v>
      </c>
      <c r="J2146" s="18">
        <f>SUM(J2130:J2145)</f>
        <v>14390.93</v>
      </c>
    </row>
    <row r="2147" spans="1:10" s="1" customFormat="1" ht="25.5" customHeight="1" x14ac:dyDescent="0.2">
      <c r="A2147" s="8"/>
      <c r="B2147" s="9" t="s">
        <v>946</v>
      </c>
      <c r="C2147" s="137" t="s">
        <v>947</v>
      </c>
      <c r="D2147" s="152"/>
      <c r="E2147" s="152"/>
      <c r="F2147" s="152"/>
      <c r="G2147" s="152"/>
      <c r="H2147" s="152"/>
      <c r="I2147" s="138"/>
      <c r="J2147" s="8"/>
    </row>
    <row r="2148" spans="1:10" s="1" customFormat="1" ht="25.5" customHeight="1" x14ac:dyDescent="0.2">
      <c r="A2148" s="27" t="s">
        <v>948</v>
      </c>
      <c r="B2148" s="25">
        <v>44470</v>
      </c>
      <c r="C2148" s="139" t="s">
        <v>949</v>
      </c>
      <c r="D2148" s="140"/>
      <c r="E2148" s="11" t="s">
        <v>102</v>
      </c>
      <c r="F2148" s="12">
        <v>116</v>
      </c>
      <c r="G2148" s="12">
        <v>63.58</v>
      </c>
      <c r="H2148" s="12">
        <v>81.12</v>
      </c>
      <c r="I2148" s="13">
        <f t="shared" ref="I2148:I2154" si="184">F2148*G2148</f>
        <v>7375.28</v>
      </c>
      <c r="J2148" s="13">
        <f t="shared" ref="J2148:J2154" si="185">F2148*H2148</f>
        <v>9409.92</v>
      </c>
    </row>
    <row r="2149" spans="1:10" s="1" customFormat="1" ht="25.5" customHeight="1" x14ac:dyDescent="0.2">
      <c r="A2149" s="27" t="s">
        <v>950</v>
      </c>
      <c r="B2149" s="25">
        <v>44471</v>
      </c>
      <c r="C2149" s="139" t="s">
        <v>951</v>
      </c>
      <c r="D2149" s="140"/>
      <c r="E2149" s="11" t="s">
        <v>102</v>
      </c>
      <c r="F2149" s="12">
        <v>19</v>
      </c>
      <c r="G2149" s="12">
        <v>102.79</v>
      </c>
      <c r="H2149" s="12">
        <v>131.15</v>
      </c>
      <c r="I2149" s="13">
        <f t="shared" si="184"/>
        <v>1953.0100000000002</v>
      </c>
      <c r="J2149" s="13">
        <f t="shared" si="185"/>
        <v>2491.85</v>
      </c>
    </row>
    <row r="2150" spans="1:10" s="1" customFormat="1" ht="25.5" customHeight="1" x14ac:dyDescent="0.2">
      <c r="A2150" s="19">
        <v>38769</v>
      </c>
      <c r="B2150" s="25">
        <v>44472</v>
      </c>
      <c r="C2150" s="139" t="s">
        <v>952</v>
      </c>
      <c r="D2150" s="140"/>
      <c r="E2150" s="11" t="s">
        <v>102</v>
      </c>
      <c r="F2150" s="12">
        <v>12</v>
      </c>
      <c r="G2150" s="12">
        <v>22.83</v>
      </c>
      <c r="H2150" s="12">
        <v>29.13</v>
      </c>
      <c r="I2150" s="13">
        <f t="shared" si="184"/>
        <v>273.95999999999998</v>
      </c>
      <c r="J2150" s="13">
        <f t="shared" si="185"/>
        <v>349.56</v>
      </c>
    </row>
    <row r="2151" spans="1:10" s="1" customFormat="1" ht="25.5" customHeight="1" x14ac:dyDescent="0.2">
      <c r="A2151" s="19">
        <v>38769</v>
      </c>
      <c r="B2151" s="25">
        <v>44473</v>
      </c>
      <c r="C2151" s="139" t="s">
        <v>953</v>
      </c>
      <c r="D2151" s="140"/>
      <c r="E2151" s="11" t="s">
        <v>102</v>
      </c>
      <c r="F2151" s="12">
        <v>18</v>
      </c>
      <c r="G2151" s="12">
        <v>22.83</v>
      </c>
      <c r="H2151" s="12">
        <v>29.13</v>
      </c>
      <c r="I2151" s="13">
        <f t="shared" si="184"/>
        <v>410.93999999999994</v>
      </c>
      <c r="J2151" s="13">
        <f t="shared" si="185"/>
        <v>524.34</v>
      </c>
    </row>
    <row r="2152" spans="1:10" s="1" customFormat="1" ht="25.5" customHeight="1" x14ac:dyDescent="0.2">
      <c r="A2152" s="27" t="s">
        <v>954</v>
      </c>
      <c r="B2152" s="25">
        <v>44474</v>
      </c>
      <c r="C2152" s="139" t="s">
        <v>955</v>
      </c>
      <c r="D2152" s="140"/>
      <c r="E2152" s="11" t="s">
        <v>102</v>
      </c>
      <c r="F2152" s="12">
        <v>2</v>
      </c>
      <c r="G2152" s="13">
        <v>3877.9</v>
      </c>
      <c r="H2152" s="13">
        <v>4947.82</v>
      </c>
      <c r="I2152" s="13">
        <f t="shared" si="184"/>
        <v>7755.8</v>
      </c>
      <c r="J2152" s="13">
        <f t="shared" si="185"/>
        <v>9895.64</v>
      </c>
    </row>
    <row r="2153" spans="1:10" s="1" customFormat="1" ht="25.5" customHeight="1" x14ac:dyDescent="0.2">
      <c r="A2153" s="27" t="s">
        <v>956</v>
      </c>
      <c r="B2153" s="25">
        <v>44475</v>
      </c>
      <c r="C2153" s="139" t="s">
        <v>957</v>
      </c>
      <c r="D2153" s="140"/>
      <c r="E2153" s="11" t="s">
        <v>102</v>
      </c>
      <c r="F2153" s="12">
        <v>4</v>
      </c>
      <c r="G2153" s="13">
        <v>2717.21</v>
      </c>
      <c r="H2153" s="13">
        <v>3466.89</v>
      </c>
      <c r="I2153" s="13">
        <f t="shared" si="184"/>
        <v>10868.84</v>
      </c>
      <c r="J2153" s="13">
        <f t="shared" si="185"/>
        <v>13867.56</v>
      </c>
    </row>
    <row r="2154" spans="1:10" s="1" customFormat="1" ht="25.5" customHeight="1" x14ac:dyDescent="0.2">
      <c r="A2154" s="45" t="s">
        <v>308</v>
      </c>
      <c r="B2154" s="37">
        <v>44476</v>
      </c>
      <c r="C2154" s="139" t="s">
        <v>958</v>
      </c>
      <c r="D2154" s="140"/>
      <c r="E2154" s="31" t="s">
        <v>102</v>
      </c>
      <c r="F2154" s="32">
        <v>5</v>
      </c>
      <c r="G2154" s="32">
        <v>135.36000000000001</v>
      </c>
      <c r="H2154" s="32">
        <v>172.71</v>
      </c>
      <c r="I2154" s="13">
        <f t="shared" si="184"/>
        <v>676.80000000000007</v>
      </c>
      <c r="J2154" s="13">
        <f t="shared" si="185"/>
        <v>863.55000000000007</v>
      </c>
    </row>
    <row r="2155" spans="1:10" s="1" customFormat="1" ht="25.5" customHeight="1" x14ac:dyDescent="0.2">
      <c r="A2155" s="8"/>
      <c r="B2155" s="149" t="s">
        <v>959</v>
      </c>
      <c r="C2155" s="150"/>
      <c r="D2155" s="150"/>
      <c r="E2155" s="150"/>
      <c r="F2155" s="150"/>
      <c r="G2155" s="151"/>
      <c r="H2155" s="8"/>
      <c r="I2155" s="18">
        <f>SUM(I2148:I2154)</f>
        <v>29314.63</v>
      </c>
      <c r="J2155" s="18">
        <f>SUM(J2148:J2154)</f>
        <v>37402.42</v>
      </c>
    </row>
    <row r="2156" spans="1:10" s="1" customFormat="1" ht="25.5" customHeight="1" x14ac:dyDescent="0.2">
      <c r="A2156" s="8"/>
      <c r="B2156" s="9" t="s">
        <v>960</v>
      </c>
      <c r="C2156" s="137" t="s">
        <v>961</v>
      </c>
      <c r="D2156" s="138"/>
      <c r="E2156" s="8"/>
      <c r="F2156" s="8"/>
      <c r="G2156" s="8"/>
      <c r="H2156" s="8"/>
      <c r="I2156" s="8"/>
      <c r="J2156" s="8"/>
    </row>
    <row r="2157" spans="1:10" s="1" customFormat="1" ht="25.5" customHeight="1" x14ac:dyDescent="0.2">
      <c r="A2157" s="19">
        <v>38112</v>
      </c>
      <c r="B2157" s="25">
        <v>44501</v>
      </c>
      <c r="C2157" s="139" t="s">
        <v>962</v>
      </c>
      <c r="D2157" s="140"/>
      <c r="E2157" s="11" t="s">
        <v>102</v>
      </c>
      <c r="F2157" s="12">
        <v>1</v>
      </c>
      <c r="G2157" s="12">
        <v>5.53</v>
      </c>
      <c r="H2157" s="12">
        <v>7.06</v>
      </c>
      <c r="I2157" s="13">
        <f t="shared" ref="I2157:I2169" si="186">F2157*G2157</f>
        <v>5.53</v>
      </c>
      <c r="J2157" s="13">
        <f t="shared" ref="J2157:J2169" si="187">F2157*H2157</f>
        <v>7.06</v>
      </c>
    </row>
    <row r="2158" spans="1:10" s="1" customFormat="1" ht="25.5" customHeight="1" x14ac:dyDescent="0.2">
      <c r="A2158" s="19">
        <v>38112</v>
      </c>
      <c r="B2158" s="25">
        <v>44502</v>
      </c>
      <c r="C2158" s="139" t="s">
        <v>963</v>
      </c>
      <c r="D2158" s="140"/>
      <c r="E2158" s="11" t="s">
        <v>102</v>
      </c>
      <c r="F2158" s="12">
        <v>49</v>
      </c>
      <c r="G2158" s="12">
        <v>5.53</v>
      </c>
      <c r="H2158" s="12">
        <v>7.06</v>
      </c>
      <c r="I2158" s="13">
        <f t="shared" si="186"/>
        <v>270.97000000000003</v>
      </c>
      <c r="J2158" s="13">
        <f t="shared" si="187"/>
        <v>345.94</v>
      </c>
    </row>
    <row r="2159" spans="1:10" s="1" customFormat="1" ht="25.5" customHeight="1" x14ac:dyDescent="0.2">
      <c r="A2159" s="19">
        <v>38079</v>
      </c>
      <c r="B2159" s="25">
        <v>44503</v>
      </c>
      <c r="C2159" s="139" t="s">
        <v>964</v>
      </c>
      <c r="D2159" s="140"/>
      <c r="E2159" s="11" t="s">
        <v>102</v>
      </c>
      <c r="F2159" s="12">
        <v>2</v>
      </c>
      <c r="G2159" s="12">
        <v>17.579999999999998</v>
      </c>
      <c r="H2159" s="12">
        <v>22.43</v>
      </c>
      <c r="I2159" s="13">
        <f t="shared" si="186"/>
        <v>35.159999999999997</v>
      </c>
      <c r="J2159" s="13">
        <f t="shared" si="187"/>
        <v>44.86</v>
      </c>
    </row>
    <row r="2160" spans="1:10" s="1" customFormat="1" ht="25.5" customHeight="1" x14ac:dyDescent="0.2">
      <c r="A2160" s="19">
        <v>38071</v>
      </c>
      <c r="B2160" s="25">
        <v>44504</v>
      </c>
      <c r="C2160" s="139" t="s">
        <v>965</v>
      </c>
      <c r="D2160" s="140"/>
      <c r="E2160" s="11" t="s">
        <v>102</v>
      </c>
      <c r="F2160" s="12">
        <v>5</v>
      </c>
      <c r="G2160" s="12">
        <v>13.94</v>
      </c>
      <c r="H2160" s="12">
        <v>17.79</v>
      </c>
      <c r="I2160" s="13">
        <f t="shared" si="186"/>
        <v>69.7</v>
      </c>
      <c r="J2160" s="13">
        <f t="shared" si="187"/>
        <v>88.949999999999989</v>
      </c>
    </row>
    <row r="2161" spans="1:10" s="1" customFormat="1" ht="25.5" customHeight="1" x14ac:dyDescent="0.2">
      <c r="A2161" s="19">
        <v>38070</v>
      </c>
      <c r="B2161" s="25">
        <v>44505</v>
      </c>
      <c r="C2161" s="139" t="s">
        <v>966</v>
      </c>
      <c r="D2161" s="140"/>
      <c r="E2161" s="11" t="s">
        <v>102</v>
      </c>
      <c r="F2161" s="12">
        <v>2</v>
      </c>
      <c r="G2161" s="12">
        <v>13.47</v>
      </c>
      <c r="H2161" s="12">
        <v>17.190000000000001</v>
      </c>
      <c r="I2161" s="13">
        <f t="shared" si="186"/>
        <v>26.94</v>
      </c>
      <c r="J2161" s="13">
        <f t="shared" si="187"/>
        <v>34.380000000000003</v>
      </c>
    </row>
    <row r="2162" spans="1:10" s="1" customFormat="1" ht="25.5" customHeight="1" x14ac:dyDescent="0.2">
      <c r="A2162" s="19">
        <v>38070</v>
      </c>
      <c r="B2162" s="25">
        <v>44506</v>
      </c>
      <c r="C2162" s="139" t="s">
        <v>967</v>
      </c>
      <c r="D2162" s="140"/>
      <c r="E2162" s="11" t="s">
        <v>102</v>
      </c>
      <c r="F2162" s="12">
        <v>18</v>
      </c>
      <c r="G2162" s="12">
        <v>13.47</v>
      </c>
      <c r="H2162" s="12">
        <v>17.190000000000001</v>
      </c>
      <c r="I2162" s="13">
        <f t="shared" si="186"/>
        <v>242.46</v>
      </c>
      <c r="J2162" s="13">
        <f t="shared" si="187"/>
        <v>309.42</v>
      </c>
    </row>
    <row r="2163" spans="1:10" s="1" customFormat="1" ht="25.5" customHeight="1" x14ac:dyDescent="0.2">
      <c r="A2163" s="19">
        <v>38074</v>
      </c>
      <c r="B2163" s="25">
        <v>44507</v>
      </c>
      <c r="C2163" s="139" t="s">
        <v>968</v>
      </c>
      <c r="D2163" s="140"/>
      <c r="E2163" s="11" t="s">
        <v>102</v>
      </c>
      <c r="F2163" s="12">
        <v>2</v>
      </c>
      <c r="G2163" s="12">
        <v>20.48</v>
      </c>
      <c r="H2163" s="12">
        <v>26.13</v>
      </c>
      <c r="I2163" s="13">
        <f t="shared" si="186"/>
        <v>40.96</v>
      </c>
      <c r="J2163" s="13">
        <f t="shared" si="187"/>
        <v>52.26</v>
      </c>
    </row>
    <row r="2164" spans="1:10" s="1" customFormat="1" ht="25.5" customHeight="1" x14ac:dyDescent="0.2">
      <c r="A2164" s="22" t="s">
        <v>308</v>
      </c>
      <c r="B2164" s="25">
        <v>44508</v>
      </c>
      <c r="C2164" s="139" t="s">
        <v>969</v>
      </c>
      <c r="D2164" s="140"/>
      <c r="E2164" s="11" t="s">
        <v>102</v>
      </c>
      <c r="F2164" s="12">
        <v>1</v>
      </c>
      <c r="G2164" s="12">
        <v>3.9</v>
      </c>
      <c r="H2164" s="12">
        <v>4.9800000000000004</v>
      </c>
      <c r="I2164" s="13">
        <f t="shared" si="186"/>
        <v>3.9</v>
      </c>
      <c r="J2164" s="13">
        <f t="shared" si="187"/>
        <v>4.9800000000000004</v>
      </c>
    </row>
    <row r="2165" spans="1:10" s="1" customFormat="1" ht="25.5" customHeight="1" x14ac:dyDescent="0.2">
      <c r="A2165" s="19">
        <v>38108</v>
      </c>
      <c r="B2165" s="25">
        <v>44509</v>
      </c>
      <c r="C2165" s="139" t="s">
        <v>970</v>
      </c>
      <c r="D2165" s="140"/>
      <c r="E2165" s="11" t="s">
        <v>102</v>
      </c>
      <c r="F2165" s="12">
        <v>6</v>
      </c>
      <c r="G2165" s="12">
        <v>38.54</v>
      </c>
      <c r="H2165" s="12">
        <v>49.17</v>
      </c>
      <c r="I2165" s="13">
        <f t="shared" si="186"/>
        <v>231.24</v>
      </c>
      <c r="J2165" s="13">
        <f t="shared" si="187"/>
        <v>295.02</v>
      </c>
    </row>
    <row r="2166" spans="1:10" s="1" customFormat="1" ht="25.5" customHeight="1" x14ac:dyDescent="0.2">
      <c r="A2166" s="19">
        <v>38092</v>
      </c>
      <c r="B2166" s="38">
        <v>40503</v>
      </c>
      <c r="C2166" s="139" t="s">
        <v>971</v>
      </c>
      <c r="D2166" s="140"/>
      <c r="E2166" s="11" t="s">
        <v>102</v>
      </c>
      <c r="F2166" s="12">
        <v>49</v>
      </c>
      <c r="G2166" s="12">
        <v>1.85</v>
      </c>
      <c r="H2166" s="12">
        <v>2.36</v>
      </c>
      <c r="I2166" s="13">
        <f t="shared" si="186"/>
        <v>90.65</v>
      </c>
      <c r="J2166" s="13">
        <f t="shared" si="187"/>
        <v>115.64</v>
      </c>
    </row>
    <row r="2167" spans="1:10" s="1" customFormat="1" ht="25.5" customHeight="1" x14ac:dyDescent="0.2">
      <c r="A2167" s="19">
        <v>38093</v>
      </c>
      <c r="B2167" s="38">
        <v>40868</v>
      </c>
      <c r="C2167" s="139" t="s">
        <v>972</v>
      </c>
      <c r="D2167" s="140"/>
      <c r="E2167" s="11" t="s">
        <v>102</v>
      </c>
      <c r="F2167" s="12">
        <v>20</v>
      </c>
      <c r="G2167" s="12">
        <v>1.91</v>
      </c>
      <c r="H2167" s="12">
        <v>2.44</v>
      </c>
      <c r="I2167" s="13">
        <f t="shared" si="186"/>
        <v>38.199999999999996</v>
      </c>
      <c r="J2167" s="13">
        <f t="shared" si="187"/>
        <v>48.8</v>
      </c>
    </row>
    <row r="2168" spans="1:10" s="1" customFormat="1" ht="25.5" customHeight="1" x14ac:dyDescent="0.2">
      <c r="A2168" s="19">
        <v>38094</v>
      </c>
      <c r="B2168" s="38">
        <v>41234</v>
      </c>
      <c r="C2168" s="139" t="s">
        <v>973</v>
      </c>
      <c r="D2168" s="140"/>
      <c r="E2168" s="11" t="s">
        <v>102</v>
      </c>
      <c r="F2168" s="12">
        <v>5</v>
      </c>
      <c r="G2168" s="12">
        <v>2.34</v>
      </c>
      <c r="H2168" s="12">
        <v>2.99</v>
      </c>
      <c r="I2168" s="13">
        <f t="shared" si="186"/>
        <v>11.7</v>
      </c>
      <c r="J2168" s="13">
        <f t="shared" si="187"/>
        <v>14.950000000000001</v>
      </c>
    </row>
    <row r="2169" spans="1:10" s="1" customFormat="1" ht="25.5" customHeight="1" x14ac:dyDescent="0.2">
      <c r="A2169" s="19">
        <v>38097</v>
      </c>
      <c r="B2169" s="38">
        <v>41599</v>
      </c>
      <c r="C2169" s="139" t="s">
        <v>974</v>
      </c>
      <c r="D2169" s="140"/>
      <c r="E2169" s="11" t="s">
        <v>102</v>
      </c>
      <c r="F2169" s="12">
        <v>1</v>
      </c>
      <c r="G2169" s="12">
        <v>4.76</v>
      </c>
      <c r="H2169" s="12">
        <v>6.07</v>
      </c>
      <c r="I2169" s="13">
        <f t="shared" si="186"/>
        <v>4.76</v>
      </c>
      <c r="J2169" s="13">
        <f t="shared" si="187"/>
        <v>6.07</v>
      </c>
    </row>
    <row r="2170" spans="1:10" s="1" customFormat="1" ht="25.5" customHeight="1" x14ac:dyDescent="0.2">
      <c r="A2170" s="8"/>
      <c r="B2170" s="149" t="s">
        <v>975</v>
      </c>
      <c r="C2170" s="150"/>
      <c r="D2170" s="150"/>
      <c r="E2170" s="150"/>
      <c r="F2170" s="150"/>
      <c r="G2170" s="151"/>
      <c r="H2170" s="8"/>
      <c r="I2170" s="18">
        <f>SUM(I2157:I2169)</f>
        <v>1072.17</v>
      </c>
      <c r="J2170" s="18">
        <f>SUM(J2157:J2169)</f>
        <v>1368.3300000000002</v>
      </c>
    </row>
    <row r="2171" spans="1:10" s="1" customFormat="1" ht="25.5" customHeight="1" x14ac:dyDescent="0.2">
      <c r="A2171" s="8"/>
      <c r="B2171" s="9" t="s">
        <v>976</v>
      </c>
      <c r="C2171" s="137" t="s">
        <v>977</v>
      </c>
      <c r="D2171" s="152"/>
      <c r="E2171" s="152"/>
      <c r="F2171" s="152"/>
      <c r="G2171" s="152"/>
      <c r="H2171" s="152"/>
      <c r="I2171" s="138"/>
      <c r="J2171" s="8"/>
    </row>
    <row r="2172" spans="1:10" s="1" customFormat="1" ht="25.5" customHeight="1" x14ac:dyDescent="0.2">
      <c r="A2172" s="19">
        <v>38075</v>
      </c>
      <c r="B2172" s="25">
        <v>44531</v>
      </c>
      <c r="C2172" s="139" t="s">
        <v>978</v>
      </c>
      <c r="D2172" s="140"/>
      <c r="E2172" s="11" t="s">
        <v>102</v>
      </c>
      <c r="F2172" s="12">
        <v>14</v>
      </c>
      <c r="G2172" s="12">
        <v>12.82</v>
      </c>
      <c r="H2172" s="12">
        <v>16.36</v>
      </c>
      <c r="I2172" s="13">
        <f t="shared" ref="I2172:I2177" si="188">F2172*G2172</f>
        <v>179.48000000000002</v>
      </c>
      <c r="J2172" s="13">
        <f t="shared" ref="J2172:J2177" si="189">F2172*H2172</f>
        <v>229.04</v>
      </c>
    </row>
    <row r="2173" spans="1:10" s="1" customFormat="1" ht="25.5" customHeight="1" x14ac:dyDescent="0.2">
      <c r="A2173" s="22" t="s">
        <v>308</v>
      </c>
      <c r="B2173" s="25">
        <v>44532</v>
      </c>
      <c r="C2173" s="139" t="s">
        <v>979</v>
      </c>
      <c r="D2173" s="140"/>
      <c r="E2173" s="11" t="s">
        <v>102</v>
      </c>
      <c r="F2173" s="12">
        <v>7</v>
      </c>
      <c r="G2173" s="12">
        <v>3.9</v>
      </c>
      <c r="H2173" s="12">
        <v>4.9800000000000004</v>
      </c>
      <c r="I2173" s="13">
        <f t="shared" si="188"/>
        <v>27.3</v>
      </c>
      <c r="J2173" s="13">
        <f t="shared" si="189"/>
        <v>34.86</v>
      </c>
    </row>
    <row r="2174" spans="1:10" s="1" customFormat="1" ht="25.5" customHeight="1" x14ac:dyDescent="0.2">
      <c r="A2174" s="27" t="s">
        <v>980</v>
      </c>
      <c r="B2174" s="25">
        <v>44533</v>
      </c>
      <c r="C2174" s="139" t="s">
        <v>981</v>
      </c>
      <c r="D2174" s="140"/>
      <c r="E2174" s="11" t="s">
        <v>102</v>
      </c>
      <c r="F2174" s="12">
        <v>191</v>
      </c>
      <c r="G2174" s="12">
        <v>16.91</v>
      </c>
      <c r="H2174" s="12">
        <v>21.58</v>
      </c>
      <c r="I2174" s="13">
        <f t="shared" si="188"/>
        <v>3229.81</v>
      </c>
      <c r="J2174" s="13">
        <f t="shared" si="189"/>
        <v>4121.78</v>
      </c>
    </row>
    <row r="2175" spans="1:10" s="1" customFormat="1" ht="25.5" customHeight="1" x14ac:dyDescent="0.2">
      <c r="A2175" s="27" t="s">
        <v>982</v>
      </c>
      <c r="B2175" s="25">
        <v>44534</v>
      </c>
      <c r="C2175" s="139" t="s">
        <v>983</v>
      </c>
      <c r="D2175" s="140"/>
      <c r="E2175" s="11" t="s">
        <v>102</v>
      </c>
      <c r="F2175" s="12">
        <v>8</v>
      </c>
      <c r="G2175" s="12">
        <v>36.520000000000003</v>
      </c>
      <c r="H2175" s="12">
        <v>46.6</v>
      </c>
      <c r="I2175" s="13">
        <f t="shared" si="188"/>
        <v>292.16000000000003</v>
      </c>
      <c r="J2175" s="13">
        <f t="shared" si="189"/>
        <v>372.8</v>
      </c>
    </row>
    <row r="2176" spans="1:10" s="1" customFormat="1" ht="25.5" customHeight="1" x14ac:dyDescent="0.2">
      <c r="A2176" s="19">
        <v>38093</v>
      </c>
      <c r="B2176" s="25">
        <v>44535</v>
      </c>
      <c r="C2176" s="139" t="s">
        <v>984</v>
      </c>
      <c r="D2176" s="140"/>
      <c r="E2176" s="11" t="s">
        <v>102</v>
      </c>
      <c r="F2176" s="12">
        <v>191</v>
      </c>
      <c r="G2176" s="12">
        <v>1.91</v>
      </c>
      <c r="H2176" s="12">
        <v>2.44</v>
      </c>
      <c r="I2176" s="13">
        <f t="shared" si="188"/>
        <v>364.81</v>
      </c>
      <c r="J2176" s="13">
        <f t="shared" si="189"/>
        <v>466.03999999999996</v>
      </c>
    </row>
    <row r="2177" spans="1:10" s="1" customFormat="1" ht="25.5" customHeight="1" x14ac:dyDescent="0.2">
      <c r="A2177" s="19">
        <v>38091</v>
      </c>
      <c r="B2177" s="25">
        <v>44536</v>
      </c>
      <c r="C2177" s="139" t="s">
        <v>985</v>
      </c>
      <c r="D2177" s="140"/>
      <c r="E2177" s="11" t="s">
        <v>102</v>
      </c>
      <c r="F2177" s="12">
        <v>28</v>
      </c>
      <c r="G2177" s="12">
        <v>1.95</v>
      </c>
      <c r="H2177" s="12">
        <v>2.4900000000000002</v>
      </c>
      <c r="I2177" s="13">
        <f t="shared" si="188"/>
        <v>54.6</v>
      </c>
      <c r="J2177" s="13">
        <f t="shared" si="189"/>
        <v>69.72</v>
      </c>
    </row>
    <row r="2178" spans="1:10" s="1" customFormat="1" ht="25.5" customHeight="1" x14ac:dyDescent="0.2">
      <c r="A2178" s="8"/>
      <c r="B2178" s="149" t="s">
        <v>986</v>
      </c>
      <c r="C2178" s="150"/>
      <c r="D2178" s="150"/>
      <c r="E2178" s="150"/>
      <c r="F2178" s="150"/>
      <c r="G2178" s="151"/>
      <c r="H2178" s="8"/>
      <c r="I2178" s="18">
        <f>SUM(I2172:I2177)</f>
        <v>4148.16</v>
      </c>
      <c r="J2178" s="18">
        <f>SUM(J2172:J2177)</f>
        <v>5294.24</v>
      </c>
    </row>
    <row r="2179" spans="1:10" s="1" customFormat="1" ht="25.5" customHeight="1" x14ac:dyDescent="0.2">
      <c r="A2179" s="8"/>
      <c r="B2179" s="9" t="s">
        <v>987</v>
      </c>
      <c r="C2179" s="137" t="s">
        <v>988</v>
      </c>
      <c r="D2179" s="152"/>
      <c r="E2179" s="152"/>
      <c r="F2179" s="152"/>
      <c r="G2179" s="152"/>
      <c r="H2179" s="152"/>
      <c r="I2179" s="138"/>
      <c r="J2179" s="8"/>
    </row>
    <row r="2180" spans="1:10" s="1" customFormat="1" ht="25.5" customHeight="1" x14ac:dyDescent="0.2">
      <c r="A2180" s="27" t="s">
        <v>989</v>
      </c>
      <c r="B2180" s="11" t="s">
        <v>990</v>
      </c>
      <c r="C2180" s="139" t="s">
        <v>991</v>
      </c>
      <c r="D2180" s="140"/>
      <c r="E2180" s="11" t="s">
        <v>102</v>
      </c>
      <c r="F2180" s="12">
        <v>64</v>
      </c>
      <c r="G2180" s="12">
        <v>3.46</v>
      </c>
      <c r="H2180" s="12">
        <v>4.41</v>
      </c>
      <c r="I2180" s="13">
        <f t="shared" ref="I2180:I2185" si="190">F2180*G2180</f>
        <v>221.44</v>
      </c>
      <c r="J2180" s="13">
        <f t="shared" ref="J2180:J2185" si="191">F2180*H2180</f>
        <v>282.24</v>
      </c>
    </row>
    <row r="2181" spans="1:10" s="1" customFormat="1" ht="25.5" customHeight="1" x14ac:dyDescent="0.2">
      <c r="A2181" s="19">
        <v>11950</v>
      </c>
      <c r="B2181" s="11" t="s">
        <v>992</v>
      </c>
      <c r="C2181" s="139" t="s">
        <v>993</v>
      </c>
      <c r="D2181" s="140"/>
      <c r="E2181" s="11" t="s">
        <v>102</v>
      </c>
      <c r="F2181" s="13">
        <v>1200</v>
      </c>
      <c r="G2181" s="12">
        <v>0.14000000000000001</v>
      </c>
      <c r="H2181" s="12">
        <v>0.18</v>
      </c>
      <c r="I2181" s="13">
        <f t="shared" si="190"/>
        <v>168.00000000000003</v>
      </c>
      <c r="J2181" s="13">
        <f t="shared" si="191"/>
        <v>216</v>
      </c>
    </row>
    <row r="2182" spans="1:10" s="1" customFormat="1" ht="25.5" customHeight="1" x14ac:dyDescent="0.2">
      <c r="A2182" s="22" t="s">
        <v>308</v>
      </c>
      <c r="B2182" s="11" t="s">
        <v>994</v>
      </c>
      <c r="C2182" s="139" t="s">
        <v>995</v>
      </c>
      <c r="D2182" s="140"/>
      <c r="E2182" s="11" t="s">
        <v>102</v>
      </c>
      <c r="F2182" s="12">
        <v>32</v>
      </c>
      <c r="G2182" s="12">
        <v>4.9000000000000004</v>
      </c>
      <c r="H2182" s="12">
        <v>6.25</v>
      </c>
      <c r="I2182" s="13">
        <f t="shared" si="190"/>
        <v>156.80000000000001</v>
      </c>
      <c r="J2182" s="13">
        <f t="shared" si="191"/>
        <v>200</v>
      </c>
    </row>
    <row r="2183" spans="1:10" s="1" customFormat="1" ht="25.5" customHeight="1" x14ac:dyDescent="0.2">
      <c r="A2183" s="22" t="s">
        <v>308</v>
      </c>
      <c r="B2183" s="11" t="s">
        <v>996</v>
      </c>
      <c r="C2183" s="139" t="s">
        <v>997</v>
      </c>
      <c r="D2183" s="140"/>
      <c r="E2183" s="11" t="s">
        <v>102</v>
      </c>
      <c r="F2183" s="12">
        <v>32</v>
      </c>
      <c r="G2183" s="12">
        <v>17</v>
      </c>
      <c r="H2183" s="12">
        <v>21.69</v>
      </c>
      <c r="I2183" s="13">
        <f t="shared" si="190"/>
        <v>544</v>
      </c>
      <c r="J2183" s="13">
        <f t="shared" si="191"/>
        <v>694.08</v>
      </c>
    </row>
    <row r="2184" spans="1:10" s="1" customFormat="1" ht="25.5" customHeight="1" x14ac:dyDescent="0.2">
      <c r="A2184" s="19">
        <v>39997</v>
      </c>
      <c r="B2184" s="11" t="s">
        <v>998</v>
      </c>
      <c r="C2184" s="139" t="s">
        <v>999</v>
      </c>
      <c r="D2184" s="140"/>
      <c r="E2184" s="11" t="s">
        <v>102</v>
      </c>
      <c r="F2184" s="12">
        <v>300</v>
      </c>
      <c r="G2184" s="12">
        <v>0.14000000000000001</v>
      </c>
      <c r="H2184" s="12">
        <v>0.18</v>
      </c>
      <c r="I2184" s="13">
        <f t="shared" si="190"/>
        <v>42.000000000000007</v>
      </c>
      <c r="J2184" s="13">
        <f t="shared" si="191"/>
        <v>54</v>
      </c>
    </row>
    <row r="2185" spans="1:10" s="1" customFormat="1" ht="25.5" customHeight="1" x14ac:dyDescent="0.2">
      <c r="A2185" s="19">
        <v>39996</v>
      </c>
      <c r="B2185" s="11" t="s">
        <v>1000</v>
      </c>
      <c r="C2185" s="139" t="s">
        <v>1001</v>
      </c>
      <c r="D2185" s="140"/>
      <c r="E2185" s="11" t="s">
        <v>81</v>
      </c>
      <c r="F2185" s="12">
        <v>120</v>
      </c>
      <c r="G2185" s="12">
        <v>2.35</v>
      </c>
      <c r="H2185" s="12">
        <v>3</v>
      </c>
      <c r="I2185" s="13">
        <f t="shared" si="190"/>
        <v>282</v>
      </c>
      <c r="J2185" s="13">
        <f t="shared" si="191"/>
        <v>360</v>
      </c>
    </row>
    <row r="2186" spans="1:10" s="1" customFormat="1" ht="25.5" customHeight="1" x14ac:dyDescent="0.2">
      <c r="A2186" s="8"/>
      <c r="B2186" s="149" t="s">
        <v>1002</v>
      </c>
      <c r="C2186" s="150"/>
      <c r="D2186" s="150"/>
      <c r="E2186" s="150"/>
      <c r="F2186" s="150"/>
      <c r="G2186" s="151"/>
      <c r="H2186" s="8"/>
      <c r="I2186" s="18">
        <f>SUM(I2180:I2185)</f>
        <v>1414.24</v>
      </c>
      <c r="J2186" s="18">
        <f>SUM(J2180:J2185)</f>
        <v>1806.3200000000002</v>
      </c>
    </row>
    <row r="2187" spans="1:10" s="1" customFormat="1" ht="25.5" customHeight="1" x14ac:dyDescent="0.2">
      <c r="A2187" s="8"/>
      <c r="B2187" s="9" t="s">
        <v>1003</v>
      </c>
      <c r="C2187" s="137" t="s">
        <v>1004</v>
      </c>
      <c r="D2187" s="152"/>
      <c r="E2187" s="152"/>
      <c r="F2187" s="152"/>
      <c r="G2187" s="152"/>
      <c r="H2187" s="152"/>
      <c r="I2187" s="138"/>
      <c r="J2187" s="8"/>
    </row>
    <row r="2188" spans="1:10" s="1" customFormat="1" ht="25.5" customHeight="1" x14ac:dyDescent="0.2">
      <c r="A2188" s="8"/>
      <c r="B2188" s="9" t="s">
        <v>1005</v>
      </c>
      <c r="C2188" s="137" t="s">
        <v>1006</v>
      </c>
      <c r="D2188" s="152"/>
      <c r="E2188" s="152"/>
      <c r="F2188" s="152"/>
      <c r="G2188" s="152"/>
      <c r="H2188" s="152"/>
      <c r="I2188" s="138"/>
      <c r="J2188" s="8"/>
    </row>
    <row r="2189" spans="1:10" s="1" customFormat="1" ht="25.5" customHeight="1" x14ac:dyDescent="0.2">
      <c r="A2189" s="19">
        <v>4274</v>
      </c>
      <c r="B2189" s="11" t="s">
        <v>1007</v>
      </c>
      <c r="C2189" s="139" t="s">
        <v>1008</v>
      </c>
      <c r="D2189" s="140"/>
      <c r="E2189" s="11" t="s">
        <v>1009</v>
      </c>
      <c r="F2189" s="12">
        <v>1</v>
      </c>
      <c r="G2189" s="12">
        <v>72.459999999999994</v>
      </c>
      <c r="H2189" s="12">
        <v>92.45</v>
      </c>
      <c r="I2189" s="13">
        <f>F2189*G2189</f>
        <v>72.459999999999994</v>
      </c>
      <c r="J2189" s="13">
        <f>F2189*H2189</f>
        <v>92.45</v>
      </c>
    </row>
    <row r="2190" spans="1:10" s="1" customFormat="1" ht="25.5" customHeight="1" x14ac:dyDescent="0.2">
      <c r="A2190" s="24">
        <v>863</v>
      </c>
      <c r="B2190" s="11" t="s">
        <v>1010</v>
      </c>
      <c r="C2190" s="139" t="s">
        <v>1011</v>
      </c>
      <c r="D2190" s="140"/>
      <c r="E2190" s="11" t="s">
        <v>81</v>
      </c>
      <c r="F2190" s="12">
        <v>600</v>
      </c>
      <c r="G2190" s="12">
        <v>13.97</v>
      </c>
      <c r="H2190" s="12">
        <v>17.82</v>
      </c>
      <c r="I2190" s="13">
        <f>F2190*G2190</f>
        <v>8382</v>
      </c>
      <c r="J2190" s="13">
        <f>F2190*H2190</f>
        <v>10692</v>
      </c>
    </row>
    <row r="2191" spans="1:10" s="1" customFormat="1" ht="25.5" customHeight="1" x14ac:dyDescent="0.2">
      <c r="A2191" s="27" t="s">
        <v>1012</v>
      </c>
      <c r="B2191" s="11" t="s">
        <v>1013</v>
      </c>
      <c r="C2191" s="139" t="s">
        <v>1014</v>
      </c>
      <c r="D2191" s="140"/>
      <c r="E2191" s="11" t="s">
        <v>1009</v>
      </c>
      <c r="F2191" s="12">
        <v>12</v>
      </c>
      <c r="G2191" s="12">
        <v>61.88</v>
      </c>
      <c r="H2191" s="12">
        <v>78.959999999999994</v>
      </c>
      <c r="I2191" s="13">
        <f>F2191*G2191</f>
        <v>742.56000000000006</v>
      </c>
      <c r="J2191" s="13">
        <f>F2191*H2191</f>
        <v>947.52</v>
      </c>
    </row>
    <row r="2192" spans="1:10" s="1" customFormat="1" ht="25.5" customHeight="1" x14ac:dyDescent="0.2">
      <c r="A2192" s="8"/>
      <c r="B2192" s="9" t="s">
        <v>1015</v>
      </c>
      <c r="C2192" s="137" t="s">
        <v>1016</v>
      </c>
      <c r="D2192" s="138"/>
      <c r="E2192" s="8"/>
      <c r="F2192" s="8"/>
      <c r="G2192" s="8"/>
      <c r="H2192" s="8"/>
      <c r="I2192" s="8"/>
      <c r="J2192" s="8"/>
    </row>
    <row r="2193" spans="1:10" s="1" customFormat="1" ht="25.5" customHeight="1" x14ac:dyDescent="0.2">
      <c r="A2193" s="22" t="s">
        <v>308</v>
      </c>
      <c r="B2193" s="11" t="s">
        <v>1017</v>
      </c>
      <c r="C2193" s="139" t="s">
        <v>1018</v>
      </c>
      <c r="D2193" s="140"/>
      <c r="E2193" s="11" t="s">
        <v>1009</v>
      </c>
      <c r="F2193" s="12">
        <v>2</v>
      </c>
      <c r="G2193" s="12">
        <v>4.3899999999999997</v>
      </c>
      <c r="H2193" s="12">
        <v>5.6</v>
      </c>
      <c r="I2193" s="13">
        <f>F2193*G2193</f>
        <v>8.7799999999999994</v>
      </c>
      <c r="J2193" s="13">
        <f>F2193*H2193</f>
        <v>11.2</v>
      </c>
    </row>
    <row r="2194" spans="1:10" s="1" customFormat="1" ht="25.5" customHeight="1" x14ac:dyDescent="0.2">
      <c r="A2194" s="27" t="s">
        <v>1019</v>
      </c>
      <c r="B2194" s="11" t="s">
        <v>1020</v>
      </c>
      <c r="C2194" s="139" t="s">
        <v>1021</v>
      </c>
      <c r="D2194" s="140"/>
      <c r="E2194" s="11" t="s">
        <v>1009</v>
      </c>
      <c r="F2194" s="12">
        <v>40</v>
      </c>
      <c r="G2194" s="12">
        <v>5.64</v>
      </c>
      <c r="H2194" s="12">
        <v>7.2</v>
      </c>
      <c r="I2194" s="13">
        <f>F2194*G2194</f>
        <v>225.6</v>
      </c>
      <c r="J2194" s="13">
        <f>F2194*H2194</f>
        <v>288</v>
      </c>
    </row>
    <row r="2195" spans="1:10" s="1" customFormat="1" ht="25.5" customHeight="1" x14ac:dyDescent="0.2">
      <c r="A2195" s="22" t="s">
        <v>308</v>
      </c>
      <c r="B2195" s="11" t="s">
        <v>1022</v>
      </c>
      <c r="C2195" s="139" t="s">
        <v>1023</v>
      </c>
      <c r="D2195" s="140"/>
      <c r="E2195" s="11" t="s">
        <v>1009</v>
      </c>
      <c r="F2195" s="12">
        <v>76</v>
      </c>
      <c r="G2195" s="12">
        <v>1.84</v>
      </c>
      <c r="H2195" s="12">
        <v>2.34</v>
      </c>
      <c r="I2195" s="13">
        <f>F2195*G2195</f>
        <v>139.84</v>
      </c>
      <c r="J2195" s="13">
        <f>F2195*H2195</f>
        <v>177.83999999999997</v>
      </c>
    </row>
    <row r="2196" spans="1:10" s="1" customFormat="1" ht="25.5" customHeight="1" x14ac:dyDescent="0.2">
      <c r="A2196" s="27" t="s">
        <v>1024</v>
      </c>
      <c r="B2196" s="11" t="s">
        <v>1025</v>
      </c>
      <c r="C2196" s="139" t="s">
        <v>1026</v>
      </c>
      <c r="D2196" s="140"/>
      <c r="E2196" s="11" t="s">
        <v>1009</v>
      </c>
      <c r="F2196" s="12">
        <v>130</v>
      </c>
      <c r="G2196" s="12">
        <v>6.28</v>
      </c>
      <c r="H2196" s="12">
        <v>8.02</v>
      </c>
      <c r="I2196" s="13">
        <f>F2196*G2196</f>
        <v>816.4</v>
      </c>
      <c r="J2196" s="13">
        <f>F2196*H2196</f>
        <v>1042.5999999999999</v>
      </c>
    </row>
    <row r="2197" spans="1:10" s="1" customFormat="1" ht="25.5" customHeight="1" x14ac:dyDescent="0.2">
      <c r="A2197" s="8"/>
      <c r="B2197" s="9" t="s">
        <v>1027</v>
      </c>
      <c r="C2197" s="137" t="s">
        <v>1028</v>
      </c>
      <c r="D2197" s="138"/>
      <c r="E2197" s="8"/>
      <c r="F2197" s="8"/>
      <c r="G2197" s="8"/>
      <c r="H2197" s="8"/>
      <c r="I2197" s="8"/>
      <c r="J2197" s="8"/>
    </row>
    <row r="2198" spans="1:10" s="1" customFormat="1" ht="25.5" customHeight="1" x14ac:dyDescent="0.2">
      <c r="A2198" s="27" t="s">
        <v>1012</v>
      </c>
      <c r="B2198" s="11" t="s">
        <v>1029</v>
      </c>
      <c r="C2198" s="139" t="s">
        <v>1014</v>
      </c>
      <c r="D2198" s="140"/>
      <c r="E2198" s="11" t="s">
        <v>1009</v>
      </c>
      <c r="F2198" s="12">
        <v>34</v>
      </c>
      <c r="G2198" s="12">
        <v>61.88</v>
      </c>
      <c r="H2198" s="12">
        <v>78.959999999999994</v>
      </c>
      <c r="I2198" s="13">
        <f>F2198*G2198</f>
        <v>2103.92</v>
      </c>
      <c r="J2198" s="13">
        <f>F2198*H2198</f>
        <v>2684.64</v>
      </c>
    </row>
    <row r="2199" spans="1:10" s="1" customFormat="1" ht="25.5" customHeight="1" x14ac:dyDescent="0.2">
      <c r="A2199" s="8"/>
      <c r="B2199" s="9" t="s">
        <v>1030</v>
      </c>
      <c r="C2199" s="137" t="s">
        <v>1031</v>
      </c>
      <c r="D2199" s="138"/>
      <c r="E2199" s="8"/>
      <c r="F2199" s="8"/>
      <c r="G2199" s="8"/>
      <c r="H2199" s="8"/>
      <c r="I2199" s="8"/>
      <c r="J2199" s="8"/>
    </row>
    <row r="2200" spans="1:10" s="1" customFormat="1" ht="25.5" customHeight="1" x14ac:dyDescent="0.2">
      <c r="A2200" s="27" t="s">
        <v>1012</v>
      </c>
      <c r="B2200" s="11" t="s">
        <v>1032</v>
      </c>
      <c r="C2200" s="139" t="s">
        <v>1014</v>
      </c>
      <c r="D2200" s="140"/>
      <c r="E2200" s="11" t="s">
        <v>1009</v>
      </c>
      <c r="F2200" s="12">
        <v>43</v>
      </c>
      <c r="G2200" s="12">
        <v>61.88</v>
      </c>
      <c r="H2200" s="12">
        <v>78.959999999999994</v>
      </c>
      <c r="I2200" s="13">
        <f>F2200*G2200</f>
        <v>2660.84</v>
      </c>
      <c r="J2200" s="13">
        <f>F2200*H2200</f>
        <v>3395.2799999999997</v>
      </c>
    </row>
    <row r="2201" spans="1:10" s="1" customFormat="1" ht="25.5" customHeight="1" x14ac:dyDescent="0.2">
      <c r="A2201" s="27" t="s">
        <v>1033</v>
      </c>
      <c r="B2201" s="11" t="s">
        <v>1034</v>
      </c>
      <c r="C2201" s="139" t="s">
        <v>1035</v>
      </c>
      <c r="D2201" s="140"/>
      <c r="E2201" s="11" t="s">
        <v>1009</v>
      </c>
      <c r="F2201" s="12">
        <v>2</v>
      </c>
      <c r="G2201" s="12">
        <v>25.37</v>
      </c>
      <c r="H2201" s="12">
        <v>32.369999999999997</v>
      </c>
      <c r="I2201" s="13">
        <f>F2201*G2201</f>
        <v>50.74</v>
      </c>
      <c r="J2201" s="13">
        <f>F2201*H2201</f>
        <v>64.739999999999995</v>
      </c>
    </row>
    <row r="2202" spans="1:10" s="1" customFormat="1" ht="25.5" customHeight="1" x14ac:dyDescent="0.2">
      <c r="A2202" s="19">
        <v>72254</v>
      </c>
      <c r="B2202" s="11" t="s">
        <v>1036</v>
      </c>
      <c r="C2202" s="139" t="s">
        <v>1037</v>
      </c>
      <c r="D2202" s="140"/>
      <c r="E2202" s="11" t="s">
        <v>81</v>
      </c>
      <c r="F2202" s="12">
        <v>75</v>
      </c>
      <c r="G2202" s="12">
        <v>30.9</v>
      </c>
      <c r="H2202" s="12">
        <v>39.43</v>
      </c>
      <c r="I2202" s="13">
        <f>F2202*G2202</f>
        <v>2317.5</v>
      </c>
      <c r="J2202" s="13">
        <f>F2202*H2202</f>
        <v>2957.25</v>
      </c>
    </row>
    <row r="2203" spans="1:10" s="1" customFormat="1" ht="25.5" customHeight="1" x14ac:dyDescent="0.2">
      <c r="A2203" s="8"/>
      <c r="B2203" s="9" t="s">
        <v>1038</v>
      </c>
      <c r="C2203" s="137" t="s">
        <v>1039</v>
      </c>
      <c r="D2203" s="138"/>
      <c r="E2203" s="8"/>
      <c r="F2203" s="8"/>
      <c r="G2203" s="8"/>
      <c r="H2203" s="8"/>
      <c r="I2203" s="8"/>
      <c r="J2203" s="8"/>
    </row>
    <row r="2204" spans="1:10" s="1" customFormat="1" ht="25.5" customHeight="1" x14ac:dyDescent="0.2">
      <c r="A2204" s="27" t="s">
        <v>1040</v>
      </c>
      <c r="B2204" s="11" t="s">
        <v>1041</v>
      </c>
      <c r="C2204" s="139" t="s">
        <v>1042</v>
      </c>
      <c r="D2204" s="140"/>
      <c r="E2204" s="11" t="s">
        <v>1009</v>
      </c>
      <c r="F2204" s="12">
        <v>2</v>
      </c>
      <c r="G2204" s="12">
        <v>202.58</v>
      </c>
      <c r="H2204" s="12">
        <v>258.47000000000003</v>
      </c>
      <c r="I2204" s="13">
        <f>F2204*G2204</f>
        <v>405.16</v>
      </c>
      <c r="J2204" s="13">
        <f>F2204*H2204</f>
        <v>516.94000000000005</v>
      </c>
    </row>
    <row r="2205" spans="1:10" s="1" customFormat="1" ht="25.5" customHeight="1" x14ac:dyDescent="0.2">
      <c r="A2205" s="8"/>
      <c r="B2205" s="149" t="s">
        <v>1043</v>
      </c>
      <c r="C2205" s="150"/>
      <c r="D2205" s="150"/>
      <c r="E2205" s="150"/>
      <c r="F2205" s="150"/>
      <c r="G2205" s="151"/>
      <c r="H2205" s="8"/>
      <c r="I2205" s="18">
        <f>SUM(I2189:I2204)</f>
        <v>17925.8</v>
      </c>
      <c r="J2205" s="18">
        <f>SUM(J2189:J2204)</f>
        <v>22870.460000000003</v>
      </c>
    </row>
    <row r="2206" spans="1:10" s="1" customFormat="1" ht="25.5" customHeight="1" x14ac:dyDescent="0.2">
      <c r="A2206" s="8"/>
      <c r="B2206" s="149" t="s">
        <v>1044</v>
      </c>
      <c r="C2206" s="150"/>
      <c r="D2206" s="150"/>
      <c r="E2206" s="150"/>
      <c r="F2206" s="150"/>
      <c r="G2206" s="151"/>
      <c r="H2206" s="8"/>
      <c r="I2206" s="14">
        <f>SUM(I2205,I2186,I2178,I2170,I2155,I2146,I2128,I2114,I2099,I2083,I2069,I2064,I2056,I2052)-4</f>
        <v>112381</v>
      </c>
      <c r="J2206" s="15">
        <f>SUM(J2205,J2186,J2178,J2170,J2155,J2146,J2128,J2114,J2099,J2083,J2069,J2064,J2056,J2052)+30</f>
        <v>143387.21000000005</v>
      </c>
    </row>
    <row r="2207" spans="1:10" s="1" customFormat="1" ht="25.5" customHeight="1" x14ac:dyDescent="0.2">
      <c r="A2207" s="8"/>
      <c r="B2207" s="9" t="s">
        <v>1045</v>
      </c>
      <c r="C2207" s="137" t="s">
        <v>1046</v>
      </c>
      <c r="D2207" s="138"/>
      <c r="E2207" s="8"/>
      <c r="F2207" s="8"/>
      <c r="G2207" s="8"/>
      <c r="H2207" s="8"/>
      <c r="I2207" s="8"/>
      <c r="J2207" s="8"/>
    </row>
    <row r="2208" spans="1:10" s="1" customFormat="1" ht="25.5" customHeight="1" x14ac:dyDescent="0.2">
      <c r="A2208" s="8"/>
      <c r="B2208" s="9" t="s">
        <v>1047</v>
      </c>
      <c r="C2208" s="137" t="s">
        <v>1048</v>
      </c>
      <c r="D2208" s="138"/>
      <c r="E2208" s="8"/>
      <c r="F2208" s="8"/>
      <c r="G2208" s="8"/>
      <c r="H2208" s="8"/>
      <c r="I2208" s="8"/>
      <c r="J2208" s="8"/>
    </row>
    <row r="2209" spans="1:10" s="1" customFormat="1" ht="25.5" customHeight="1" x14ac:dyDescent="0.2">
      <c r="A2209" s="19">
        <v>98302</v>
      </c>
      <c r="B2209" s="21">
        <v>44562</v>
      </c>
      <c r="C2209" s="139" t="s">
        <v>1049</v>
      </c>
      <c r="D2209" s="140"/>
      <c r="E2209" s="11" t="s">
        <v>102</v>
      </c>
      <c r="F2209" s="12">
        <v>4</v>
      </c>
      <c r="G2209" s="12">
        <v>683.89</v>
      </c>
      <c r="H2209" s="12">
        <v>872.58</v>
      </c>
      <c r="I2209" s="13">
        <f t="shared" ref="I2209:I2215" si="192">F2209*G2209</f>
        <v>2735.56</v>
      </c>
      <c r="J2209" s="13">
        <f t="shared" ref="J2209:J2215" si="193">F2209*H2209</f>
        <v>3490.32</v>
      </c>
    </row>
    <row r="2210" spans="1:10" s="1" customFormat="1" ht="25.5" customHeight="1" x14ac:dyDescent="0.2">
      <c r="A2210" s="22" t="s">
        <v>308</v>
      </c>
      <c r="B2210" s="21">
        <v>44563</v>
      </c>
      <c r="C2210" s="139" t="s">
        <v>1050</v>
      </c>
      <c r="D2210" s="140"/>
      <c r="E2210" s="11" t="s">
        <v>102</v>
      </c>
      <c r="F2210" s="12">
        <v>1</v>
      </c>
      <c r="G2210" s="12">
        <v>159.38</v>
      </c>
      <c r="H2210" s="12">
        <v>203.35</v>
      </c>
      <c r="I2210" s="13">
        <f t="shared" si="192"/>
        <v>159.38</v>
      </c>
      <c r="J2210" s="13">
        <f t="shared" si="193"/>
        <v>203.35</v>
      </c>
    </row>
    <row r="2211" spans="1:10" s="1" customFormat="1" ht="25.5" customHeight="1" x14ac:dyDescent="0.2">
      <c r="A2211" s="27" t="s">
        <v>1051</v>
      </c>
      <c r="B2211" s="21">
        <v>44564</v>
      </c>
      <c r="C2211" s="139" t="s">
        <v>1052</v>
      </c>
      <c r="D2211" s="140"/>
      <c r="E2211" s="11" t="s">
        <v>102</v>
      </c>
      <c r="F2211" s="12">
        <v>6</v>
      </c>
      <c r="G2211" s="12">
        <v>9.15</v>
      </c>
      <c r="H2211" s="12">
        <v>11.68</v>
      </c>
      <c r="I2211" s="13">
        <f t="shared" si="192"/>
        <v>54.900000000000006</v>
      </c>
      <c r="J2211" s="13">
        <f t="shared" si="193"/>
        <v>70.08</v>
      </c>
    </row>
    <row r="2212" spans="1:10" s="1" customFormat="1" ht="25.5" customHeight="1" x14ac:dyDescent="0.2">
      <c r="A2212" s="27" t="s">
        <v>1051</v>
      </c>
      <c r="B2212" s="21">
        <v>44565</v>
      </c>
      <c r="C2212" s="139" t="s">
        <v>1053</v>
      </c>
      <c r="D2212" s="140"/>
      <c r="E2212" s="11" t="s">
        <v>102</v>
      </c>
      <c r="F2212" s="12">
        <v>6</v>
      </c>
      <c r="G2212" s="12">
        <v>9.15</v>
      </c>
      <c r="H2212" s="12">
        <v>11.68</v>
      </c>
      <c r="I2212" s="13">
        <f t="shared" si="192"/>
        <v>54.900000000000006</v>
      </c>
      <c r="J2212" s="13">
        <f t="shared" si="193"/>
        <v>70.08</v>
      </c>
    </row>
    <row r="2213" spans="1:10" s="1" customFormat="1" ht="25.5" customHeight="1" x14ac:dyDescent="0.2">
      <c r="A2213" s="22" t="s">
        <v>308</v>
      </c>
      <c r="B2213" s="21">
        <v>44566</v>
      </c>
      <c r="C2213" s="139" t="s">
        <v>1054</v>
      </c>
      <c r="D2213" s="140"/>
      <c r="E2213" s="11" t="s">
        <v>102</v>
      </c>
      <c r="F2213" s="12">
        <v>6</v>
      </c>
      <c r="G2213" s="12">
        <v>84.99</v>
      </c>
      <c r="H2213" s="12">
        <v>108.44</v>
      </c>
      <c r="I2213" s="13">
        <f t="shared" si="192"/>
        <v>509.93999999999994</v>
      </c>
      <c r="J2213" s="13">
        <f t="shared" si="193"/>
        <v>650.64</v>
      </c>
    </row>
    <row r="2214" spans="1:10" s="1" customFormat="1" ht="25.5" customHeight="1" x14ac:dyDescent="0.2">
      <c r="A2214" s="27" t="s">
        <v>1051</v>
      </c>
      <c r="B2214" s="21">
        <v>44567</v>
      </c>
      <c r="C2214" s="139" t="s">
        <v>1055</v>
      </c>
      <c r="D2214" s="140"/>
      <c r="E2214" s="11" t="s">
        <v>102</v>
      </c>
      <c r="F2214" s="12">
        <v>2</v>
      </c>
      <c r="G2214" s="12">
        <v>9.15</v>
      </c>
      <c r="H2214" s="12">
        <v>11.68</v>
      </c>
      <c r="I2214" s="13">
        <f t="shared" si="192"/>
        <v>18.3</v>
      </c>
      <c r="J2214" s="13">
        <f t="shared" si="193"/>
        <v>23.36</v>
      </c>
    </row>
    <row r="2215" spans="1:10" s="1" customFormat="1" ht="25.5" customHeight="1" x14ac:dyDescent="0.2">
      <c r="A2215" s="27" t="s">
        <v>1051</v>
      </c>
      <c r="B2215" s="21">
        <v>44568</v>
      </c>
      <c r="C2215" s="139" t="s">
        <v>1056</v>
      </c>
      <c r="D2215" s="140"/>
      <c r="E2215" s="11" t="s">
        <v>102</v>
      </c>
      <c r="F2215" s="12">
        <v>1</v>
      </c>
      <c r="G2215" s="12">
        <v>9.15</v>
      </c>
      <c r="H2215" s="12">
        <v>11.68</v>
      </c>
      <c r="I2215" s="13">
        <f t="shared" si="192"/>
        <v>9.15</v>
      </c>
      <c r="J2215" s="13">
        <f t="shared" si="193"/>
        <v>11.68</v>
      </c>
    </row>
    <row r="2216" spans="1:10" s="1" customFormat="1" ht="25.5" customHeight="1" x14ac:dyDescent="0.2">
      <c r="A2216" s="8"/>
      <c r="B2216" s="9" t="s">
        <v>1057</v>
      </c>
      <c r="C2216" s="137" t="s">
        <v>1058</v>
      </c>
      <c r="D2216" s="138"/>
      <c r="E2216" s="8"/>
      <c r="F2216" s="8"/>
      <c r="G2216" s="8"/>
      <c r="H2216" s="8"/>
      <c r="I2216" s="8"/>
      <c r="J2216" s="8"/>
    </row>
    <row r="2217" spans="1:10" s="1" customFormat="1" ht="25.5" customHeight="1" x14ac:dyDescent="0.2">
      <c r="A2217" s="22" t="s">
        <v>308</v>
      </c>
      <c r="B2217" s="21">
        <v>44593</v>
      </c>
      <c r="C2217" s="139" t="s">
        <v>1059</v>
      </c>
      <c r="D2217" s="140"/>
      <c r="E2217" s="11" t="s">
        <v>81</v>
      </c>
      <c r="F2217" s="12">
        <v>890</v>
      </c>
      <c r="G2217" s="12">
        <v>2.84</v>
      </c>
      <c r="H2217" s="12">
        <v>3.62</v>
      </c>
      <c r="I2217" s="13">
        <f>F2217*G2217</f>
        <v>2527.6</v>
      </c>
      <c r="J2217" s="13">
        <f>F2217*H2217</f>
        <v>3221.8</v>
      </c>
    </row>
    <row r="2218" spans="1:10" s="1" customFormat="1" ht="25.5" customHeight="1" x14ac:dyDescent="0.2">
      <c r="A2218" s="19">
        <v>98268</v>
      </c>
      <c r="B2218" s="21">
        <v>44594</v>
      </c>
      <c r="C2218" s="139" t="s">
        <v>1060</v>
      </c>
      <c r="D2218" s="140"/>
      <c r="E2218" s="11" t="s">
        <v>81</v>
      </c>
      <c r="F2218" s="12">
        <v>8</v>
      </c>
      <c r="G2218" s="12">
        <v>10.48</v>
      </c>
      <c r="H2218" s="12">
        <v>13.37</v>
      </c>
      <c r="I2218" s="13">
        <f>F2218*G2218</f>
        <v>83.84</v>
      </c>
      <c r="J2218" s="13">
        <f>F2218*H2218</f>
        <v>106.96</v>
      </c>
    </row>
    <row r="2219" spans="1:10" s="1" customFormat="1" ht="25.5" customHeight="1" x14ac:dyDescent="0.2">
      <c r="A2219" s="8"/>
      <c r="B2219" s="9" t="s">
        <v>1061</v>
      </c>
      <c r="C2219" s="137" t="s">
        <v>1062</v>
      </c>
      <c r="D2219" s="138"/>
      <c r="E2219" s="8"/>
      <c r="F2219" s="8"/>
      <c r="G2219" s="8"/>
      <c r="H2219" s="8"/>
      <c r="I2219" s="8"/>
      <c r="J2219" s="8"/>
    </row>
    <row r="2220" spans="1:10" s="1" customFormat="1" ht="25.5" customHeight="1" x14ac:dyDescent="0.2">
      <c r="A2220" s="19">
        <v>39606</v>
      </c>
      <c r="B2220" s="21">
        <v>44621</v>
      </c>
      <c r="C2220" s="139" t="s">
        <v>1063</v>
      </c>
      <c r="D2220" s="140"/>
      <c r="E2220" s="11" t="s">
        <v>102</v>
      </c>
      <c r="F2220" s="12">
        <v>41</v>
      </c>
      <c r="G2220" s="12">
        <v>24.43</v>
      </c>
      <c r="H2220" s="12">
        <v>31.17</v>
      </c>
      <c r="I2220" s="13">
        <f>F2220*G2220</f>
        <v>1001.63</v>
      </c>
      <c r="J2220" s="13">
        <f>F2220*H2220</f>
        <v>1277.97</v>
      </c>
    </row>
    <row r="2221" spans="1:10" s="1" customFormat="1" ht="25.5" customHeight="1" x14ac:dyDescent="0.2">
      <c r="A2221" s="19">
        <v>39604</v>
      </c>
      <c r="B2221" s="21">
        <v>44622</v>
      </c>
      <c r="C2221" s="139" t="s">
        <v>1064</v>
      </c>
      <c r="D2221" s="140"/>
      <c r="E2221" s="11" t="s">
        <v>102</v>
      </c>
      <c r="F2221" s="12">
        <v>48</v>
      </c>
      <c r="G2221" s="12">
        <v>24.43</v>
      </c>
      <c r="H2221" s="12">
        <v>31.17</v>
      </c>
      <c r="I2221" s="13">
        <f>F2221*G2221</f>
        <v>1172.6399999999999</v>
      </c>
      <c r="J2221" s="13">
        <f>F2221*H2221</f>
        <v>1496.16</v>
      </c>
    </row>
    <row r="2222" spans="1:10" s="1" customFormat="1" ht="25.5" customHeight="1" x14ac:dyDescent="0.2">
      <c r="A2222" s="22" t="s">
        <v>308</v>
      </c>
      <c r="B2222" s="21">
        <v>44623</v>
      </c>
      <c r="C2222" s="139" t="s">
        <v>1065</v>
      </c>
      <c r="D2222" s="140"/>
      <c r="E2222" s="11" t="s">
        <v>102</v>
      </c>
      <c r="F2222" s="12">
        <v>35</v>
      </c>
      <c r="G2222" s="12">
        <v>24.43</v>
      </c>
      <c r="H2222" s="12">
        <v>31.17</v>
      </c>
      <c r="I2222" s="13">
        <f>F2222*G2222</f>
        <v>855.05</v>
      </c>
      <c r="J2222" s="13">
        <f>F2222*H2222</f>
        <v>1090.95</v>
      </c>
    </row>
    <row r="2223" spans="1:10" s="1" customFormat="1" ht="25.5" customHeight="1" x14ac:dyDescent="0.2">
      <c r="A2223" s="22" t="s">
        <v>308</v>
      </c>
      <c r="B2223" s="21">
        <v>44624</v>
      </c>
      <c r="C2223" s="139" t="s">
        <v>1066</v>
      </c>
      <c r="D2223" s="140"/>
      <c r="E2223" s="11" t="s">
        <v>102</v>
      </c>
      <c r="F2223" s="12">
        <v>15</v>
      </c>
      <c r="G2223" s="12">
        <v>24.43</v>
      </c>
      <c r="H2223" s="12">
        <v>31.17</v>
      </c>
      <c r="I2223" s="13">
        <f>F2223*G2223</f>
        <v>366.45</v>
      </c>
      <c r="J2223" s="13">
        <f>F2223*H2223</f>
        <v>467.55</v>
      </c>
    </row>
    <row r="2224" spans="1:10" s="1" customFormat="1" ht="25.5" customHeight="1" x14ac:dyDescent="0.2">
      <c r="A2224" s="8"/>
      <c r="B2224" s="9" t="s">
        <v>1067</v>
      </c>
      <c r="C2224" s="137" t="s">
        <v>977</v>
      </c>
      <c r="D2224" s="138"/>
      <c r="E2224" s="8"/>
      <c r="F2224" s="8"/>
      <c r="G2224" s="8"/>
      <c r="H2224" s="8"/>
      <c r="I2224" s="8"/>
      <c r="J2224" s="8"/>
    </row>
    <row r="2225" spans="1:10" s="1" customFormat="1" ht="25.5" customHeight="1" x14ac:dyDescent="0.2">
      <c r="A2225" s="22" t="s">
        <v>308</v>
      </c>
      <c r="B2225" s="21">
        <v>44652</v>
      </c>
      <c r="C2225" s="139" t="s">
        <v>1068</v>
      </c>
      <c r="D2225" s="140"/>
      <c r="E2225" s="11" t="s">
        <v>102</v>
      </c>
      <c r="F2225" s="12">
        <v>41</v>
      </c>
      <c r="G2225" s="12">
        <v>23.36</v>
      </c>
      <c r="H2225" s="12">
        <v>29.81</v>
      </c>
      <c r="I2225" s="13">
        <f>F2225*G2225</f>
        <v>957.76</v>
      </c>
      <c r="J2225" s="13">
        <f>F2225*H2225</f>
        <v>1222.21</v>
      </c>
    </row>
    <row r="2226" spans="1:10" s="1" customFormat="1" ht="25.5" customHeight="1" x14ac:dyDescent="0.2">
      <c r="A2226" s="22" t="s">
        <v>308</v>
      </c>
      <c r="B2226" s="21">
        <v>44653</v>
      </c>
      <c r="C2226" s="139" t="s">
        <v>1069</v>
      </c>
      <c r="D2226" s="140"/>
      <c r="E2226" s="11" t="s">
        <v>102</v>
      </c>
      <c r="F2226" s="12">
        <v>2</v>
      </c>
      <c r="G2226" s="12">
        <v>3.6</v>
      </c>
      <c r="H2226" s="12">
        <v>4.59</v>
      </c>
      <c r="I2226" s="13">
        <f>F2226*G2226</f>
        <v>7.2</v>
      </c>
      <c r="J2226" s="13">
        <f>F2226*H2226</f>
        <v>9.18</v>
      </c>
    </row>
    <row r="2227" spans="1:10" s="1" customFormat="1" ht="25.5" customHeight="1" x14ac:dyDescent="0.2">
      <c r="A2227" s="8"/>
      <c r="B2227" s="9" t="s">
        <v>1070</v>
      </c>
      <c r="C2227" s="137" t="s">
        <v>1071</v>
      </c>
      <c r="D2227" s="138"/>
      <c r="E2227" s="8"/>
      <c r="F2227" s="8"/>
      <c r="G2227" s="8"/>
      <c r="H2227" s="8"/>
      <c r="I2227" s="8"/>
      <c r="J2227" s="8"/>
    </row>
    <row r="2228" spans="1:10" s="1" customFormat="1" ht="25.5" customHeight="1" x14ac:dyDescent="0.2">
      <c r="A2228" s="19">
        <v>2559</v>
      </c>
      <c r="B2228" s="21">
        <v>44682</v>
      </c>
      <c r="C2228" s="139" t="s">
        <v>1072</v>
      </c>
      <c r="D2228" s="140"/>
      <c r="E2228" s="11" t="s">
        <v>102</v>
      </c>
      <c r="F2228" s="12">
        <v>2</v>
      </c>
      <c r="G2228" s="12">
        <v>8.5</v>
      </c>
      <c r="H2228" s="12">
        <v>10.85</v>
      </c>
      <c r="I2228" s="13">
        <f t="shared" ref="I2228:I2235" si="194">F2228*G2228</f>
        <v>17</v>
      </c>
      <c r="J2228" s="13">
        <f t="shared" ref="J2228:J2235" si="195">F2228*H2228</f>
        <v>21.7</v>
      </c>
    </row>
    <row r="2229" spans="1:10" s="1" customFormat="1" ht="25.5" customHeight="1" x14ac:dyDescent="0.2">
      <c r="A2229" s="27" t="s">
        <v>78</v>
      </c>
      <c r="B2229" s="21">
        <v>44683</v>
      </c>
      <c r="C2229" s="139" t="s">
        <v>1073</v>
      </c>
      <c r="D2229" s="140"/>
      <c r="E2229" s="11" t="s">
        <v>102</v>
      </c>
      <c r="F2229" s="12">
        <v>1</v>
      </c>
      <c r="G2229" s="12">
        <v>344.17</v>
      </c>
      <c r="H2229" s="12">
        <v>439.13</v>
      </c>
      <c r="I2229" s="13">
        <f t="shared" si="194"/>
        <v>344.17</v>
      </c>
      <c r="J2229" s="13">
        <f t="shared" si="195"/>
        <v>439.13</v>
      </c>
    </row>
    <row r="2230" spans="1:10" s="1" customFormat="1" ht="25.5" customHeight="1" x14ac:dyDescent="0.2">
      <c r="A2230" s="11" t="s">
        <v>78</v>
      </c>
      <c r="B2230" s="21">
        <v>44684</v>
      </c>
      <c r="C2230" s="139" t="s">
        <v>1074</v>
      </c>
      <c r="D2230" s="140"/>
      <c r="E2230" s="11" t="s">
        <v>102</v>
      </c>
      <c r="F2230" s="12">
        <v>2</v>
      </c>
      <c r="G2230" s="12">
        <v>191.15</v>
      </c>
      <c r="H2230" s="12">
        <v>243.89</v>
      </c>
      <c r="I2230" s="13">
        <f t="shared" si="194"/>
        <v>382.3</v>
      </c>
      <c r="J2230" s="13">
        <f t="shared" si="195"/>
        <v>487.78</v>
      </c>
    </row>
    <row r="2231" spans="1:10" s="1" customFormat="1" ht="25.5" customHeight="1" x14ac:dyDescent="0.2">
      <c r="A2231" s="11" t="s">
        <v>308</v>
      </c>
      <c r="B2231" s="21">
        <v>44685</v>
      </c>
      <c r="C2231" s="139" t="s">
        <v>1075</v>
      </c>
      <c r="D2231" s="140"/>
      <c r="E2231" s="11" t="s">
        <v>102</v>
      </c>
      <c r="F2231" s="12">
        <v>1</v>
      </c>
      <c r="G2231" s="12">
        <v>7.52</v>
      </c>
      <c r="H2231" s="12">
        <v>9.59</v>
      </c>
      <c r="I2231" s="13">
        <f t="shared" si="194"/>
        <v>7.52</v>
      </c>
      <c r="J2231" s="13">
        <f t="shared" si="195"/>
        <v>9.59</v>
      </c>
    </row>
    <row r="2232" spans="1:10" s="1" customFormat="1" ht="25.5" customHeight="1" x14ac:dyDescent="0.2">
      <c r="A2232" s="11" t="s">
        <v>308</v>
      </c>
      <c r="B2232" s="21">
        <v>44686</v>
      </c>
      <c r="C2232" s="139" t="s">
        <v>1076</v>
      </c>
      <c r="D2232" s="140"/>
      <c r="E2232" s="11" t="s">
        <v>102</v>
      </c>
      <c r="F2232" s="12">
        <v>13</v>
      </c>
      <c r="G2232" s="12">
        <v>8.4</v>
      </c>
      <c r="H2232" s="12">
        <v>10.72</v>
      </c>
      <c r="I2232" s="13">
        <f t="shared" si="194"/>
        <v>109.2</v>
      </c>
      <c r="J2232" s="13">
        <f t="shared" si="195"/>
        <v>139.36000000000001</v>
      </c>
    </row>
    <row r="2233" spans="1:10" s="1" customFormat="1" ht="25.5" customHeight="1" x14ac:dyDescent="0.2">
      <c r="A2233" s="11" t="s">
        <v>308</v>
      </c>
      <c r="B2233" s="21">
        <v>44687</v>
      </c>
      <c r="C2233" s="139" t="s">
        <v>1077</v>
      </c>
      <c r="D2233" s="140"/>
      <c r="E2233" s="11" t="s">
        <v>102</v>
      </c>
      <c r="F2233" s="12">
        <v>1</v>
      </c>
      <c r="G2233" s="12">
        <v>2.4900000000000002</v>
      </c>
      <c r="H2233" s="12">
        <v>3.18</v>
      </c>
      <c r="I2233" s="13">
        <f t="shared" si="194"/>
        <v>2.4900000000000002</v>
      </c>
      <c r="J2233" s="13">
        <f t="shared" si="195"/>
        <v>3.18</v>
      </c>
    </row>
    <row r="2234" spans="1:10" s="1" customFormat="1" ht="25.5" customHeight="1" x14ac:dyDescent="0.2">
      <c r="A2234" s="11" t="s">
        <v>308</v>
      </c>
      <c r="B2234" s="21">
        <v>44688</v>
      </c>
      <c r="C2234" s="139" t="s">
        <v>1078</v>
      </c>
      <c r="D2234" s="140"/>
      <c r="E2234" s="11" t="s">
        <v>102</v>
      </c>
      <c r="F2234" s="12">
        <v>1</v>
      </c>
      <c r="G2234" s="12">
        <v>2.46</v>
      </c>
      <c r="H2234" s="12">
        <v>3.14</v>
      </c>
      <c r="I2234" s="13">
        <f t="shared" si="194"/>
        <v>2.46</v>
      </c>
      <c r="J2234" s="13">
        <f t="shared" si="195"/>
        <v>3.14</v>
      </c>
    </row>
    <row r="2235" spans="1:10" s="1" customFormat="1" ht="25.5" customHeight="1" x14ac:dyDescent="0.2">
      <c r="A2235" s="11" t="s">
        <v>308</v>
      </c>
      <c r="B2235" s="21">
        <v>44689</v>
      </c>
      <c r="C2235" s="139" t="s">
        <v>1079</v>
      </c>
      <c r="D2235" s="140"/>
      <c r="E2235" s="11" t="s">
        <v>102</v>
      </c>
      <c r="F2235" s="12">
        <v>14</v>
      </c>
      <c r="G2235" s="12">
        <v>3.26</v>
      </c>
      <c r="H2235" s="12">
        <v>4.16</v>
      </c>
      <c r="I2235" s="13">
        <f t="shared" si="194"/>
        <v>45.64</v>
      </c>
      <c r="J2235" s="13">
        <f t="shared" si="195"/>
        <v>58.24</v>
      </c>
    </row>
    <row r="2236" spans="1:10" s="1" customFormat="1" ht="25.5" customHeight="1" x14ac:dyDescent="0.2">
      <c r="A2236" s="8"/>
      <c r="B2236" s="9" t="s">
        <v>1080</v>
      </c>
      <c r="C2236" s="137" t="s">
        <v>856</v>
      </c>
      <c r="D2236" s="138"/>
      <c r="E2236" s="8"/>
      <c r="F2236" s="8"/>
      <c r="G2236" s="8"/>
      <c r="H2236" s="8"/>
      <c r="I2236" s="8"/>
      <c r="J2236" s="8"/>
    </row>
    <row r="2237" spans="1:10" s="1" customFormat="1" ht="25.5" customHeight="1" x14ac:dyDescent="0.2">
      <c r="A2237" s="8"/>
      <c r="B2237" s="46"/>
      <c r="C2237" s="139" t="s">
        <v>1081</v>
      </c>
      <c r="D2237" s="140"/>
      <c r="E2237" s="8"/>
      <c r="F2237" s="8"/>
      <c r="G2237" s="8"/>
      <c r="H2237" s="8"/>
      <c r="I2237" s="8"/>
      <c r="J2237" s="8"/>
    </row>
    <row r="2238" spans="1:10" s="1" customFormat="1" ht="25.5" customHeight="1" x14ac:dyDescent="0.2">
      <c r="A2238" s="11" t="s">
        <v>308</v>
      </c>
      <c r="B2238" s="21">
        <v>44713</v>
      </c>
      <c r="C2238" s="139" t="s">
        <v>1082</v>
      </c>
      <c r="D2238" s="140"/>
      <c r="E2238" s="11" t="s">
        <v>81</v>
      </c>
      <c r="F2238" s="12">
        <v>1</v>
      </c>
      <c r="G2238" s="12">
        <v>9.9499999999999993</v>
      </c>
      <c r="H2238" s="12">
        <v>12.7</v>
      </c>
      <c r="I2238" s="13">
        <f>F2238*G2238</f>
        <v>9.9499999999999993</v>
      </c>
      <c r="J2238" s="13">
        <f>F2238*H2238</f>
        <v>12.7</v>
      </c>
    </row>
    <row r="2239" spans="1:10" s="1" customFormat="1" ht="25.5" customHeight="1" x14ac:dyDescent="0.2">
      <c r="A2239" s="11" t="s">
        <v>308</v>
      </c>
      <c r="B2239" s="21">
        <v>44714</v>
      </c>
      <c r="C2239" s="139" t="s">
        <v>1083</v>
      </c>
      <c r="D2239" s="140"/>
      <c r="E2239" s="11" t="s">
        <v>81</v>
      </c>
      <c r="F2239" s="12">
        <v>70</v>
      </c>
      <c r="G2239" s="12">
        <v>5.24</v>
      </c>
      <c r="H2239" s="12">
        <v>6.69</v>
      </c>
      <c r="I2239" s="13">
        <f>F2239*G2239</f>
        <v>366.8</v>
      </c>
      <c r="J2239" s="13">
        <f>F2239*H2239</f>
        <v>468.3</v>
      </c>
    </row>
    <row r="2240" spans="1:10" s="1" customFormat="1" ht="25.5" customHeight="1" x14ac:dyDescent="0.2">
      <c r="A2240" s="8"/>
      <c r="B2240" s="46"/>
      <c r="C2240" s="139" t="s">
        <v>1084</v>
      </c>
      <c r="D2240" s="140"/>
      <c r="E2240" s="8"/>
      <c r="F2240" s="8"/>
      <c r="G2240" s="8"/>
      <c r="H2240" s="8"/>
      <c r="I2240" s="8"/>
      <c r="J2240" s="8"/>
    </row>
    <row r="2241" spans="1:10" s="1" customFormat="1" ht="25.5" customHeight="1" x14ac:dyDescent="0.2">
      <c r="A2241" s="11" t="s">
        <v>308</v>
      </c>
      <c r="B2241" s="21">
        <v>44715</v>
      </c>
      <c r="C2241" s="139" t="s">
        <v>1083</v>
      </c>
      <c r="D2241" s="140"/>
      <c r="E2241" s="11" t="s">
        <v>81</v>
      </c>
      <c r="F2241" s="12">
        <v>10</v>
      </c>
      <c r="G2241" s="12">
        <v>12.83</v>
      </c>
      <c r="H2241" s="12">
        <v>16.37</v>
      </c>
      <c r="I2241" s="13">
        <f>F2241*G2241</f>
        <v>128.30000000000001</v>
      </c>
      <c r="J2241" s="13">
        <f>F2241*H2241</f>
        <v>163.70000000000002</v>
      </c>
    </row>
    <row r="2242" spans="1:10" s="1" customFormat="1" ht="25.5" customHeight="1" x14ac:dyDescent="0.2">
      <c r="A2242" s="8"/>
      <c r="B2242" s="46"/>
      <c r="C2242" s="139" t="s">
        <v>1085</v>
      </c>
      <c r="D2242" s="140"/>
      <c r="E2242" s="8"/>
      <c r="F2242" s="8"/>
      <c r="G2242" s="8"/>
      <c r="H2242" s="8"/>
      <c r="I2242" s="8"/>
      <c r="J2242" s="8"/>
    </row>
    <row r="2243" spans="1:10" s="1" customFormat="1" ht="25.5" customHeight="1" x14ac:dyDescent="0.2">
      <c r="A2243" s="11" t="s">
        <v>308</v>
      </c>
      <c r="B2243" s="21">
        <v>44716</v>
      </c>
      <c r="C2243" s="139" t="s">
        <v>1083</v>
      </c>
      <c r="D2243" s="140"/>
      <c r="E2243" s="11" t="s">
        <v>81</v>
      </c>
      <c r="F2243" s="12">
        <v>45</v>
      </c>
      <c r="G2243" s="12">
        <v>12.83</v>
      </c>
      <c r="H2243" s="12">
        <v>16.37</v>
      </c>
      <c r="I2243" s="13">
        <f>F2243*G2243</f>
        <v>577.35</v>
      </c>
      <c r="J2243" s="13">
        <f>F2243*H2243</f>
        <v>736.65000000000009</v>
      </c>
    </row>
    <row r="2244" spans="1:10" s="1" customFormat="1" ht="25.5" customHeight="1" x14ac:dyDescent="0.2">
      <c r="A2244" s="8"/>
      <c r="B2244" s="46"/>
      <c r="C2244" s="139" t="s">
        <v>1086</v>
      </c>
      <c r="D2244" s="140"/>
      <c r="E2244" s="8"/>
      <c r="F2244" s="8"/>
      <c r="G2244" s="8"/>
      <c r="H2244" s="8"/>
      <c r="I2244" s="8"/>
      <c r="J2244" s="8"/>
    </row>
    <row r="2245" spans="1:10" s="1" customFormat="1" ht="25.5" customHeight="1" x14ac:dyDescent="0.2">
      <c r="A2245" s="11" t="s">
        <v>308</v>
      </c>
      <c r="B2245" s="21">
        <v>44717</v>
      </c>
      <c r="C2245" s="139" t="s">
        <v>1087</v>
      </c>
      <c r="D2245" s="140"/>
      <c r="E2245" s="11" t="s">
        <v>81</v>
      </c>
      <c r="F2245" s="12">
        <v>10</v>
      </c>
      <c r="G2245" s="12">
        <v>6.65</v>
      </c>
      <c r="H2245" s="12">
        <v>8.48</v>
      </c>
      <c r="I2245" s="13">
        <f>F2245*G2245</f>
        <v>66.5</v>
      </c>
      <c r="J2245" s="13">
        <f>F2245*H2245</f>
        <v>84.800000000000011</v>
      </c>
    </row>
    <row r="2246" spans="1:10" s="1" customFormat="1" ht="25.5" customHeight="1" x14ac:dyDescent="0.2">
      <c r="A2246" s="8"/>
      <c r="B2246" s="46"/>
      <c r="C2246" s="139" t="s">
        <v>1088</v>
      </c>
      <c r="D2246" s="140"/>
      <c r="E2246" s="8"/>
      <c r="F2246" s="8"/>
      <c r="G2246" s="8"/>
      <c r="H2246" s="8"/>
      <c r="I2246" s="8"/>
      <c r="J2246" s="8"/>
    </row>
    <row r="2247" spans="1:10" s="1" customFormat="1" ht="25.5" customHeight="1" x14ac:dyDescent="0.2">
      <c r="A2247" s="11" t="s">
        <v>308</v>
      </c>
      <c r="B2247" s="21">
        <v>44718</v>
      </c>
      <c r="C2247" s="139" t="s">
        <v>1083</v>
      </c>
      <c r="D2247" s="140"/>
      <c r="E2247" s="11" t="s">
        <v>102</v>
      </c>
      <c r="F2247" s="12">
        <v>75</v>
      </c>
      <c r="G2247" s="12">
        <v>0.7</v>
      </c>
      <c r="H2247" s="12">
        <v>0.89</v>
      </c>
      <c r="I2247" s="13">
        <f t="shared" ref="I2247:I2252" si="196">F2247*G2247</f>
        <v>52.5</v>
      </c>
      <c r="J2247" s="13">
        <f t="shared" ref="J2247:J2252" si="197">F2247*H2247</f>
        <v>66.75</v>
      </c>
    </row>
    <row r="2248" spans="1:10" s="1" customFormat="1" ht="25.5" customHeight="1" x14ac:dyDescent="0.2">
      <c r="A2248" s="11" t="s">
        <v>308</v>
      </c>
      <c r="B2248" s="21">
        <v>44719</v>
      </c>
      <c r="C2248" s="139" t="s">
        <v>1089</v>
      </c>
      <c r="D2248" s="140"/>
      <c r="E2248" s="11" t="s">
        <v>102</v>
      </c>
      <c r="F2248" s="12">
        <v>75</v>
      </c>
      <c r="G2248" s="12">
        <v>6.95</v>
      </c>
      <c r="H2248" s="12">
        <v>8.8699999999999992</v>
      </c>
      <c r="I2248" s="13">
        <f t="shared" si="196"/>
        <v>521.25</v>
      </c>
      <c r="J2248" s="13">
        <f t="shared" si="197"/>
        <v>665.24999999999989</v>
      </c>
    </row>
    <row r="2249" spans="1:10" s="1" customFormat="1" ht="25.5" customHeight="1" x14ac:dyDescent="0.2">
      <c r="A2249" s="10">
        <v>4376</v>
      </c>
      <c r="B2249" s="21">
        <v>44720</v>
      </c>
      <c r="C2249" s="139" t="s">
        <v>1090</v>
      </c>
      <c r="D2249" s="140"/>
      <c r="E2249" s="11" t="s">
        <v>102</v>
      </c>
      <c r="F2249" s="12">
        <v>75</v>
      </c>
      <c r="G2249" s="12">
        <v>0.13</v>
      </c>
      <c r="H2249" s="12">
        <v>0.17</v>
      </c>
      <c r="I2249" s="13">
        <f t="shared" si="196"/>
        <v>9.75</v>
      </c>
      <c r="J2249" s="13">
        <f t="shared" si="197"/>
        <v>12.750000000000002</v>
      </c>
    </row>
    <row r="2250" spans="1:10" s="1" customFormat="1" ht="25.5" customHeight="1" x14ac:dyDescent="0.2">
      <c r="A2250" s="11" t="s">
        <v>308</v>
      </c>
      <c r="B2250" s="21">
        <v>44721</v>
      </c>
      <c r="C2250" s="139" t="s">
        <v>1091</v>
      </c>
      <c r="D2250" s="140"/>
      <c r="E2250" s="11" t="s">
        <v>102</v>
      </c>
      <c r="F2250" s="12">
        <v>75</v>
      </c>
      <c r="G2250" s="12">
        <v>0.32</v>
      </c>
      <c r="H2250" s="12">
        <v>0.41</v>
      </c>
      <c r="I2250" s="13">
        <f t="shared" si="196"/>
        <v>24</v>
      </c>
      <c r="J2250" s="13">
        <f t="shared" si="197"/>
        <v>30.749999999999996</v>
      </c>
    </row>
    <row r="2251" spans="1:10" s="1" customFormat="1" ht="25.5" customHeight="1" x14ac:dyDescent="0.2">
      <c r="A2251" s="11" t="s">
        <v>308</v>
      </c>
      <c r="B2251" s="34">
        <v>40351</v>
      </c>
      <c r="C2251" s="139" t="s">
        <v>1092</v>
      </c>
      <c r="D2251" s="140"/>
      <c r="E2251" s="11" t="s">
        <v>102</v>
      </c>
      <c r="F2251" s="12">
        <v>75</v>
      </c>
      <c r="G2251" s="12">
        <v>0.12</v>
      </c>
      <c r="H2251" s="12">
        <v>0.15</v>
      </c>
      <c r="I2251" s="13">
        <f t="shared" si="196"/>
        <v>9</v>
      </c>
      <c r="J2251" s="13">
        <f t="shared" si="197"/>
        <v>11.25</v>
      </c>
    </row>
    <row r="2252" spans="1:10" s="1" customFormat="1" ht="25.5" customHeight="1" x14ac:dyDescent="0.2">
      <c r="A2252" s="11" t="s">
        <v>308</v>
      </c>
      <c r="B2252" s="34">
        <v>40716</v>
      </c>
      <c r="C2252" s="139" t="s">
        <v>1093</v>
      </c>
      <c r="D2252" s="140"/>
      <c r="E2252" s="11" t="s">
        <v>102</v>
      </c>
      <c r="F2252" s="12">
        <v>100</v>
      </c>
      <c r="G2252" s="12">
        <v>0.09</v>
      </c>
      <c r="H2252" s="12">
        <v>0.11</v>
      </c>
      <c r="I2252" s="13">
        <f t="shared" si="196"/>
        <v>9</v>
      </c>
      <c r="J2252" s="13">
        <f t="shared" si="197"/>
        <v>11</v>
      </c>
    </row>
    <row r="2253" spans="1:10" s="1" customFormat="1" ht="25.5" customHeight="1" x14ac:dyDescent="0.2">
      <c r="A2253" s="8"/>
      <c r="B2253" s="9" t="s">
        <v>1094</v>
      </c>
      <c r="C2253" s="137" t="s">
        <v>1095</v>
      </c>
      <c r="D2253" s="152"/>
      <c r="E2253" s="152"/>
      <c r="F2253" s="152"/>
      <c r="G2253" s="152"/>
      <c r="H2253" s="152"/>
      <c r="I2253" s="138"/>
      <c r="J2253" s="8"/>
    </row>
    <row r="2254" spans="1:10" s="1" customFormat="1" ht="25.5" customHeight="1" x14ac:dyDescent="0.2">
      <c r="A2254" s="11" t="s">
        <v>78</v>
      </c>
      <c r="B2254" s="21">
        <v>44743</v>
      </c>
      <c r="C2254" s="139" t="s">
        <v>1096</v>
      </c>
      <c r="D2254" s="140"/>
      <c r="E2254" s="11" t="s">
        <v>102</v>
      </c>
      <c r="F2254" s="12">
        <v>12</v>
      </c>
      <c r="G2254" s="12">
        <v>79.47</v>
      </c>
      <c r="H2254" s="12">
        <v>101.4</v>
      </c>
      <c r="I2254" s="13">
        <f t="shared" ref="I2254:I2268" si="198">F2254*G2254</f>
        <v>953.64</v>
      </c>
      <c r="J2254" s="13">
        <f t="shared" ref="J2254:J2268" si="199">F2254*H2254</f>
        <v>1216.8000000000002</v>
      </c>
    </row>
    <row r="2255" spans="1:10" s="1" customFormat="1" ht="25.5" customHeight="1" x14ac:dyDescent="0.2">
      <c r="A2255" s="11" t="s">
        <v>308</v>
      </c>
      <c r="B2255" s="21">
        <v>44744</v>
      </c>
      <c r="C2255" s="139" t="s">
        <v>1097</v>
      </c>
      <c r="D2255" s="140"/>
      <c r="E2255" s="11" t="s">
        <v>102</v>
      </c>
      <c r="F2255" s="12">
        <v>6</v>
      </c>
      <c r="G2255" s="12">
        <v>20.45</v>
      </c>
      <c r="H2255" s="12">
        <v>26.09</v>
      </c>
      <c r="I2255" s="13">
        <f t="shared" si="198"/>
        <v>122.69999999999999</v>
      </c>
      <c r="J2255" s="13">
        <f t="shared" si="199"/>
        <v>156.54</v>
      </c>
    </row>
    <row r="2256" spans="1:10" s="1" customFormat="1" ht="25.5" customHeight="1" x14ac:dyDescent="0.2">
      <c r="A2256" s="11" t="s">
        <v>308</v>
      </c>
      <c r="B2256" s="21">
        <v>44745</v>
      </c>
      <c r="C2256" s="139" t="s">
        <v>1098</v>
      </c>
      <c r="D2256" s="140"/>
      <c r="E2256" s="11" t="s">
        <v>102</v>
      </c>
      <c r="F2256" s="12">
        <v>1</v>
      </c>
      <c r="G2256" s="12">
        <v>33.450000000000003</v>
      </c>
      <c r="H2256" s="12">
        <v>42.68</v>
      </c>
      <c r="I2256" s="13">
        <f t="shared" si="198"/>
        <v>33.450000000000003</v>
      </c>
      <c r="J2256" s="13">
        <f t="shared" si="199"/>
        <v>42.68</v>
      </c>
    </row>
    <row r="2257" spans="1:10" s="1" customFormat="1" ht="25.5" customHeight="1" x14ac:dyDescent="0.2">
      <c r="A2257" s="11" t="s">
        <v>308</v>
      </c>
      <c r="B2257" s="21">
        <v>44746</v>
      </c>
      <c r="C2257" s="139" t="s">
        <v>1099</v>
      </c>
      <c r="D2257" s="140"/>
      <c r="E2257" s="11" t="s">
        <v>102</v>
      </c>
      <c r="F2257" s="12">
        <v>2</v>
      </c>
      <c r="G2257" s="12">
        <v>23.95</v>
      </c>
      <c r="H2257" s="12">
        <v>30.56</v>
      </c>
      <c r="I2257" s="13">
        <f t="shared" si="198"/>
        <v>47.9</v>
      </c>
      <c r="J2257" s="13">
        <f t="shared" si="199"/>
        <v>61.12</v>
      </c>
    </row>
    <row r="2258" spans="1:10" s="1" customFormat="1" ht="25.5" customHeight="1" x14ac:dyDescent="0.2">
      <c r="A2258" s="11" t="s">
        <v>308</v>
      </c>
      <c r="B2258" s="21">
        <v>44747</v>
      </c>
      <c r="C2258" s="139" t="s">
        <v>1100</v>
      </c>
      <c r="D2258" s="140"/>
      <c r="E2258" s="11" t="s">
        <v>102</v>
      </c>
      <c r="F2258" s="12">
        <v>15</v>
      </c>
      <c r="G2258" s="12">
        <v>8.93</v>
      </c>
      <c r="H2258" s="12">
        <v>11.39</v>
      </c>
      <c r="I2258" s="13">
        <f t="shared" si="198"/>
        <v>133.94999999999999</v>
      </c>
      <c r="J2258" s="13">
        <f t="shared" si="199"/>
        <v>170.85000000000002</v>
      </c>
    </row>
    <row r="2259" spans="1:10" s="1" customFormat="1" ht="25.5" customHeight="1" x14ac:dyDescent="0.2">
      <c r="A2259" s="11" t="s">
        <v>308</v>
      </c>
      <c r="B2259" s="21">
        <v>44748</v>
      </c>
      <c r="C2259" s="139" t="s">
        <v>1101</v>
      </c>
      <c r="D2259" s="140"/>
      <c r="E2259" s="11" t="s">
        <v>102</v>
      </c>
      <c r="F2259" s="12">
        <v>4</v>
      </c>
      <c r="G2259" s="12">
        <v>8.1300000000000008</v>
      </c>
      <c r="H2259" s="12">
        <v>10.37</v>
      </c>
      <c r="I2259" s="13">
        <f t="shared" si="198"/>
        <v>32.520000000000003</v>
      </c>
      <c r="J2259" s="13">
        <f t="shared" si="199"/>
        <v>41.48</v>
      </c>
    </row>
    <row r="2260" spans="1:10" s="1" customFormat="1" ht="25.5" customHeight="1" x14ac:dyDescent="0.2">
      <c r="A2260" s="10">
        <v>89563</v>
      </c>
      <c r="B2260" s="21">
        <v>44749</v>
      </c>
      <c r="C2260" s="139" t="s">
        <v>1102</v>
      </c>
      <c r="D2260" s="140"/>
      <c r="E2260" s="11" t="s">
        <v>102</v>
      </c>
      <c r="F2260" s="12">
        <v>40</v>
      </c>
      <c r="G2260" s="12">
        <v>14.21</v>
      </c>
      <c r="H2260" s="12">
        <v>18.13</v>
      </c>
      <c r="I2260" s="13">
        <f t="shared" si="198"/>
        <v>568.40000000000009</v>
      </c>
      <c r="J2260" s="13">
        <f t="shared" si="199"/>
        <v>725.19999999999993</v>
      </c>
    </row>
    <row r="2261" spans="1:10" s="1" customFormat="1" ht="25.5" customHeight="1" x14ac:dyDescent="0.2">
      <c r="A2261" s="11" t="s">
        <v>308</v>
      </c>
      <c r="B2261" s="21">
        <v>44750</v>
      </c>
      <c r="C2261" s="139" t="s">
        <v>1103</v>
      </c>
      <c r="D2261" s="140"/>
      <c r="E2261" s="11" t="s">
        <v>102</v>
      </c>
      <c r="F2261" s="12">
        <v>20</v>
      </c>
      <c r="G2261" s="12">
        <v>33.74</v>
      </c>
      <c r="H2261" s="12">
        <v>43.05</v>
      </c>
      <c r="I2261" s="13">
        <f t="shared" si="198"/>
        <v>674.80000000000007</v>
      </c>
      <c r="J2261" s="13">
        <f t="shared" si="199"/>
        <v>861</v>
      </c>
    </row>
    <row r="2262" spans="1:10" s="1" customFormat="1" ht="25.5" customHeight="1" x14ac:dyDescent="0.2">
      <c r="A2262" s="11" t="s">
        <v>308</v>
      </c>
      <c r="B2262" s="21">
        <v>44751</v>
      </c>
      <c r="C2262" s="139" t="s">
        <v>1104</v>
      </c>
      <c r="D2262" s="140"/>
      <c r="E2262" s="11" t="s">
        <v>102</v>
      </c>
      <c r="F2262" s="12">
        <v>25</v>
      </c>
      <c r="G2262" s="12">
        <v>0.17</v>
      </c>
      <c r="H2262" s="12">
        <v>0.22</v>
      </c>
      <c r="I2262" s="13">
        <f t="shared" si="198"/>
        <v>4.25</v>
      </c>
      <c r="J2262" s="13">
        <f t="shared" si="199"/>
        <v>5.5</v>
      </c>
    </row>
    <row r="2263" spans="1:10" s="1" customFormat="1" ht="25.5" customHeight="1" x14ac:dyDescent="0.2">
      <c r="A2263" s="11" t="s">
        <v>308</v>
      </c>
      <c r="B2263" s="34">
        <v>40381</v>
      </c>
      <c r="C2263" s="139" t="s">
        <v>1105</v>
      </c>
      <c r="D2263" s="140"/>
      <c r="E2263" s="11" t="s">
        <v>102</v>
      </c>
      <c r="F2263" s="12">
        <v>160</v>
      </c>
      <c r="G2263" s="12">
        <v>0.19</v>
      </c>
      <c r="H2263" s="12">
        <v>0.24</v>
      </c>
      <c r="I2263" s="13">
        <f t="shared" si="198"/>
        <v>30.4</v>
      </c>
      <c r="J2263" s="13">
        <f t="shared" si="199"/>
        <v>38.4</v>
      </c>
    </row>
    <row r="2264" spans="1:10" s="1" customFormat="1" ht="25.5" customHeight="1" x14ac:dyDescent="0.2">
      <c r="A2264" s="11" t="s">
        <v>308</v>
      </c>
      <c r="B2264" s="34">
        <v>40746</v>
      </c>
      <c r="C2264" s="139" t="s">
        <v>1106</v>
      </c>
      <c r="D2264" s="140"/>
      <c r="E2264" s="11" t="s">
        <v>102</v>
      </c>
      <c r="F2264" s="12">
        <v>3</v>
      </c>
      <c r="G2264" s="12">
        <v>1.69</v>
      </c>
      <c r="H2264" s="12">
        <v>2.16</v>
      </c>
      <c r="I2264" s="13">
        <f t="shared" si="198"/>
        <v>5.07</v>
      </c>
      <c r="J2264" s="13">
        <f t="shared" si="199"/>
        <v>6.48</v>
      </c>
    </row>
    <row r="2265" spans="1:10" s="1" customFormat="1" ht="25.5" customHeight="1" x14ac:dyDescent="0.2">
      <c r="A2265" s="11" t="s">
        <v>308</v>
      </c>
      <c r="B2265" s="34">
        <v>41112</v>
      </c>
      <c r="C2265" s="139" t="s">
        <v>1107</v>
      </c>
      <c r="D2265" s="140"/>
      <c r="E2265" s="11" t="s">
        <v>102</v>
      </c>
      <c r="F2265" s="12">
        <v>25</v>
      </c>
      <c r="G2265" s="12">
        <v>1.54</v>
      </c>
      <c r="H2265" s="12">
        <v>1.96</v>
      </c>
      <c r="I2265" s="13">
        <f t="shared" si="198"/>
        <v>38.5</v>
      </c>
      <c r="J2265" s="13">
        <f t="shared" si="199"/>
        <v>49</v>
      </c>
    </row>
    <row r="2266" spans="1:10" s="1" customFormat="1" ht="25.5" customHeight="1" x14ac:dyDescent="0.2">
      <c r="A2266" s="11" t="s">
        <v>308</v>
      </c>
      <c r="B2266" s="34">
        <v>41477</v>
      </c>
      <c r="C2266" s="139" t="s">
        <v>1108</v>
      </c>
      <c r="D2266" s="140"/>
      <c r="E2266" s="11" t="s">
        <v>102</v>
      </c>
      <c r="F2266" s="12">
        <v>3</v>
      </c>
      <c r="G2266" s="12">
        <v>12.98</v>
      </c>
      <c r="H2266" s="12">
        <v>16.559999999999999</v>
      </c>
      <c r="I2266" s="13">
        <f t="shared" si="198"/>
        <v>38.94</v>
      </c>
      <c r="J2266" s="13">
        <f t="shared" si="199"/>
        <v>49.679999999999993</v>
      </c>
    </row>
    <row r="2267" spans="1:10" s="1" customFormat="1" ht="25.5" customHeight="1" x14ac:dyDescent="0.2">
      <c r="A2267" s="11" t="s">
        <v>308</v>
      </c>
      <c r="B2267" s="34">
        <v>41842</v>
      </c>
      <c r="C2267" s="139" t="s">
        <v>1109</v>
      </c>
      <c r="D2267" s="140"/>
      <c r="E2267" s="11" t="s">
        <v>102</v>
      </c>
      <c r="F2267" s="12">
        <v>300</v>
      </c>
      <c r="G2267" s="12">
        <v>0.09</v>
      </c>
      <c r="H2267" s="12">
        <v>0.11</v>
      </c>
      <c r="I2267" s="13">
        <f t="shared" si="198"/>
        <v>27</v>
      </c>
      <c r="J2267" s="13">
        <f t="shared" si="199"/>
        <v>33</v>
      </c>
    </row>
    <row r="2268" spans="1:10" s="1" customFormat="1" ht="25.5" customHeight="1" x14ac:dyDescent="0.2">
      <c r="A2268" s="11" t="s">
        <v>308</v>
      </c>
      <c r="B2268" s="34">
        <v>42207</v>
      </c>
      <c r="C2268" s="139" t="s">
        <v>1110</v>
      </c>
      <c r="D2268" s="140"/>
      <c r="E2268" s="11" t="s">
        <v>102</v>
      </c>
      <c r="F2268" s="12">
        <v>15</v>
      </c>
      <c r="G2268" s="12">
        <v>12.18</v>
      </c>
      <c r="H2268" s="12">
        <v>15.54</v>
      </c>
      <c r="I2268" s="13">
        <f t="shared" si="198"/>
        <v>182.7</v>
      </c>
      <c r="J2268" s="13">
        <f t="shared" si="199"/>
        <v>233.1</v>
      </c>
    </row>
    <row r="2269" spans="1:10" s="1" customFormat="1" ht="25.5" customHeight="1" x14ac:dyDescent="0.2">
      <c r="A2269" s="8"/>
      <c r="B2269" s="11" t="s">
        <v>1111</v>
      </c>
      <c r="C2269" s="137" t="s">
        <v>1112</v>
      </c>
      <c r="D2269" s="138"/>
      <c r="E2269" s="8"/>
      <c r="F2269" s="8"/>
      <c r="G2269" s="8"/>
      <c r="H2269" s="8"/>
      <c r="I2269" s="8"/>
      <c r="J2269" s="8"/>
    </row>
    <row r="2270" spans="1:10" s="1" customFormat="1" ht="25.5" customHeight="1" x14ac:dyDescent="0.2">
      <c r="A2270" s="11" t="s">
        <v>308</v>
      </c>
      <c r="B2270" s="21">
        <v>44774</v>
      </c>
      <c r="C2270" s="139" t="s">
        <v>1113</v>
      </c>
      <c r="D2270" s="140"/>
      <c r="E2270" s="11" t="s">
        <v>102</v>
      </c>
      <c r="F2270" s="12">
        <v>10</v>
      </c>
      <c r="G2270" s="12">
        <v>26.9</v>
      </c>
      <c r="H2270" s="12">
        <v>34.32</v>
      </c>
      <c r="I2270" s="13">
        <f t="shared" ref="I2270:I2276" si="200">F2270*G2270</f>
        <v>269</v>
      </c>
      <c r="J2270" s="13">
        <f t="shared" ref="J2270:J2276" si="201">F2270*H2270</f>
        <v>343.2</v>
      </c>
    </row>
    <row r="2271" spans="1:10" s="1" customFormat="1" ht="25.5" customHeight="1" x14ac:dyDescent="0.2">
      <c r="A2271" s="11" t="s">
        <v>308</v>
      </c>
      <c r="B2271" s="21">
        <v>44775</v>
      </c>
      <c r="C2271" s="139" t="s">
        <v>1114</v>
      </c>
      <c r="D2271" s="140"/>
      <c r="E2271" s="11" t="s">
        <v>102</v>
      </c>
      <c r="F2271" s="12">
        <v>10</v>
      </c>
      <c r="G2271" s="12">
        <v>15.67</v>
      </c>
      <c r="H2271" s="12">
        <v>19.989999999999998</v>
      </c>
      <c r="I2271" s="13">
        <f t="shared" si="200"/>
        <v>156.69999999999999</v>
      </c>
      <c r="J2271" s="13">
        <f t="shared" si="201"/>
        <v>199.89999999999998</v>
      </c>
    </row>
    <row r="2272" spans="1:10" s="1" customFormat="1" ht="25.5" customHeight="1" x14ac:dyDescent="0.2">
      <c r="A2272" s="11" t="s">
        <v>308</v>
      </c>
      <c r="B2272" s="21">
        <v>44776</v>
      </c>
      <c r="C2272" s="139" t="s">
        <v>1115</v>
      </c>
      <c r="D2272" s="140"/>
      <c r="E2272" s="11" t="s">
        <v>102</v>
      </c>
      <c r="F2272" s="12">
        <v>20</v>
      </c>
      <c r="G2272" s="12">
        <v>5.57</v>
      </c>
      <c r="H2272" s="12">
        <v>7.11</v>
      </c>
      <c r="I2272" s="13">
        <f t="shared" si="200"/>
        <v>111.4</v>
      </c>
      <c r="J2272" s="13">
        <f t="shared" si="201"/>
        <v>142.20000000000002</v>
      </c>
    </row>
    <row r="2273" spans="1:10" s="1" customFormat="1" ht="25.5" customHeight="1" x14ac:dyDescent="0.2">
      <c r="A2273" s="11" t="s">
        <v>308</v>
      </c>
      <c r="B2273" s="21">
        <v>44777</v>
      </c>
      <c r="C2273" s="139" t="s">
        <v>1116</v>
      </c>
      <c r="D2273" s="140"/>
      <c r="E2273" s="11" t="s">
        <v>102</v>
      </c>
      <c r="F2273" s="12">
        <v>2</v>
      </c>
      <c r="G2273" s="12">
        <v>7.1</v>
      </c>
      <c r="H2273" s="12">
        <v>9.06</v>
      </c>
      <c r="I2273" s="13">
        <f t="shared" si="200"/>
        <v>14.2</v>
      </c>
      <c r="J2273" s="13">
        <f t="shared" si="201"/>
        <v>18.12</v>
      </c>
    </row>
    <row r="2274" spans="1:10" s="1" customFormat="1" ht="25.5" customHeight="1" x14ac:dyDescent="0.2">
      <c r="A2274" s="11" t="s">
        <v>308</v>
      </c>
      <c r="B2274" s="21">
        <v>44778</v>
      </c>
      <c r="C2274" s="139" t="s">
        <v>1117</v>
      </c>
      <c r="D2274" s="140"/>
      <c r="E2274" s="11" t="s">
        <v>102</v>
      </c>
      <c r="F2274" s="12">
        <v>40</v>
      </c>
      <c r="G2274" s="12">
        <v>1.72</v>
      </c>
      <c r="H2274" s="12">
        <v>2.19</v>
      </c>
      <c r="I2274" s="13">
        <f t="shared" si="200"/>
        <v>68.8</v>
      </c>
      <c r="J2274" s="13">
        <f t="shared" si="201"/>
        <v>87.6</v>
      </c>
    </row>
    <row r="2275" spans="1:10" s="1" customFormat="1" ht="25.5" customHeight="1" x14ac:dyDescent="0.2">
      <c r="A2275" s="11" t="s">
        <v>308</v>
      </c>
      <c r="B2275" s="21">
        <v>44779</v>
      </c>
      <c r="C2275" s="139" t="s">
        <v>1118</v>
      </c>
      <c r="D2275" s="140"/>
      <c r="E2275" s="11" t="s">
        <v>102</v>
      </c>
      <c r="F2275" s="12">
        <v>4</v>
      </c>
      <c r="G2275" s="12">
        <v>2.33</v>
      </c>
      <c r="H2275" s="12">
        <v>2.97</v>
      </c>
      <c r="I2275" s="13">
        <f t="shared" si="200"/>
        <v>9.32</v>
      </c>
      <c r="J2275" s="13">
        <f t="shared" si="201"/>
        <v>11.88</v>
      </c>
    </row>
    <row r="2276" spans="1:10" s="1" customFormat="1" ht="25.5" customHeight="1" x14ac:dyDescent="0.2">
      <c r="A2276" s="11" t="s">
        <v>308</v>
      </c>
      <c r="B2276" s="21">
        <v>44780</v>
      </c>
      <c r="C2276" s="139" t="s">
        <v>1119</v>
      </c>
      <c r="D2276" s="140"/>
      <c r="E2276" s="11" t="s">
        <v>102</v>
      </c>
      <c r="F2276" s="12">
        <v>7</v>
      </c>
      <c r="G2276" s="12">
        <v>4.74</v>
      </c>
      <c r="H2276" s="12">
        <v>6.05</v>
      </c>
      <c r="I2276" s="13">
        <f t="shared" si="200"/>
        <v>33.18</v>
      </c>
      <c r="J2276" s="13">
        <f t="shared" si="201"/>
        <v>42.35</v>
      </c>
    </row>
    <row r="2277" spans="1:10" s="1" customFormat="1" ht="25.5" customHeight="1" x14ac:dyDescent="0.2">
      <c r="A2277" s="8"/>
      <c r="B2277" s="11" t="s">
        <v>1120</v>
      </c>
      <c r="C2277" s="137" t="s">
        <v>1121</v>
      </c>
      <c r="D2277" s="138"/>
      <c r="E2277" s="8"/>
      <c r="F2277" s="8"/>
      <c r="G2277" s="8"/>
      <c r="H2277" s="8"/>
      <c r="I2277" s="8"/>
      <c r="J2277" s="8"/>
    </row>
    <row r="2278" spans="1:10" s="1" customFormat="1" ht="25.5" customHeight="1" x14ac:dyDescent="0.2">
      <c r="A2278" s="11" t="s">
        <v>308</v>
      </c>
      <c r="B2278" s="21">
        <v>44805</v>
      </c>
      <c r="C2278" s="139" t="s">
        <v>1122</v>
      </c>
      <c r="D2278" s="140"/>
      <c r="E2278" s="11" t="s">
        <v>102</v>
      </c>
      <c r="F2278" s="12">
        <v>41</v>
      </c>
      <c r="G2278" s="12">
        <v>11.01</v>
      </c>
      <c r="H2278" s="12">
        <v>14.05</v>
      </c>
      <c r="I2278" s="13">
        <f>F2278*G2278</f>
        <v>451.40999999999997</v>
      </c>
      <c r="J2278" s="13">
        <f>F2278*H2278</f>
        <v>576.05000000000007</v>
      </c>
    </row>
    <row r="2279" spans="1:10" s="1" customFormat="1" ht="25.5" customHeight="1" x14ac:dyDescent="0.2">
      <c r="A2279" s="8"/>
      <c r="B2279" s="149" t="s">
        <v>1123</v>
      </c>
      <c r="C2279" s="150"/>
      <c r="D2279" s="150"/>
      <c r="E2279" s="150"/>
      <c r="F2279" s="150"/>
      <c r="G2279" s="151"/>
      <c r="H2279" s="8"/>
      <c r="I2279" s="14">
        <f>SUM(I2254:I2278,I2209:I2252)</f>
        <v>17207.709999999995</v>
      </c>
      <c r="J2279" s="15">
        <f>SUM(J2254:J2278,J2209:J2252)</f>
        <v>21950.440000000002</v>
      </c>
    </row>
    <row r="2280" spans="1:10" s="1" customFormat="1" ht="25.5" customHeight="1" x14ac:dyDescent="0.2">
      <c r="A2280" s="8"/>
      <c r="B2280" s="9" t="s">
        <v>1124</v>
      </c>
      <c r="C2280" s="137" t="s">
        <v>1125</v>
      </c>
      <c r="D2280" s="138"/>
      <c r="E2280" s="8"/>
      <c r="F2280" s="8"/>
      <c r="G2280" s="8"/>
      <c r="H2280" s="8"/>
      <c r="I2280" s="8"/>
      <c r="J2280" s="8"/>
    </row>
    <row r="2281" spans="1:10" s="1" customFormat="1" ht="25.5" customHeight="1" x14ac:dyDescent="0.2">
      <c r="A2281" s="8"/>
      <c r="B2281" s="9" t="s">
        <v>1126</v>
      </c>
      <c r="C2281" s="137" t="s">
        <v>684</v>
      </c>
      <c r="D2281" s="138"/>
      <c r="E2281" s="8"/>
      <c r="F2281" s="8"/>
      <c r="G2281" s="8"/>
      <c r="H2281" s="8"/>
      <c r="I2281" s="8"/>
      <c r="J2281" s="8"/>
    </row>
    <row r="2282" spans="1:10" s="1" customFormat="1" ht="25.5" customHeight="1" x14ac:dyDescent="0.2">
      <c r="A2282" s="11" t="s">
        <v>308</v>
      </c>
      <c r="B2282" s="21">
        <v>44927</v>
      </c>
      <c r="C2282" s="139" t="s">
        <v>1127</v>
      </c>
      <c r="D2282" s="140"/>
      <c r="E2282" s="11" t="s">
        <v>102</v>
      </c>
      <c r="F2282" s="12">
        <v>1</v>
      </c>
      <c r="G2282" s="12">
        <v>419.11</v>
      </c>
      <c r="H2282" s="12">
        <v>534.74</v>
      </c>
      <c r="I2282" s="13">
        <f>F2282*G2282</f>
        <v>419.11</v>
      </c>
      <c r="J2282" s="13">
        <f>F2282*H2282</f>
        <v>534.74</v>
      </c>
    </row>
    <row r="2283" spans="1:10" s="1" customFormat="1" ht="25.5" customHeight="1" x14ac:dyDescent="0.2">
      <c r="A2283" s="11" t="s">
        <v>308</v>
      </c>
      <c r="B2283" s="21">
        <v>44928</v>
      </c>
      <c r="C2283" s="139" t="s">
        <v>1128</v>
      </c>
      <c r="D2283" s="140"/>
      <c r="E2283" s="11" t="s">
        <v>102</v>
      </c>
      <c r="F2283" s="12">
        <v>1</v>
      </c>
      <c r="G2283" s="12">
        <v>385</v>
      </c>
      <c r="H2283" s="12">
        <v>491.22</v>
      </c>
      <c r="I2283" s="13">
        <f>F2283*G2283</f>
        <v>385</v>
      </c>
      <c r="J2283" s="13">
        <f>F2283*H2283</f>
        <v>491.22</v>
      </c>
    </row>
    <row r="2284" spans="1:10" s="1" customFormat="1" ht="25.5" customHeight="1" x14ac:dyDescent="0.2">
      <c r="A2284" s="11" t="s">
        <v>308</v>
      </c>
      <c r="B2284" s="21">
        <v>44929</v>
      </c>
      <c r="C2284" s="139" t="s">
        <v>1129</v>
      </c>
      <c r="D2284" s="140"/>
      <c r="E2284" s="11" t="s">
        <v>102</v>
      </c>
      <c r="F2284" s="12">
        <v>1</v>
      </c>
      <c r="G2284" s="12">
        <v>250</v>
      </c>
      <c r="H2284" s="12">
        <v>318.98</v>
      </c>
      <c r="I2284" s="13">
        <f>F2284*G2284</f>
        <v>250</v>
      </c>
      <c r="J2284" s="13">
        <f>F2284*H2284</f>
        <v>318.98</v>
      </c>
    </row>
    <row r="2285" spans="1:10" s="1" customFormat="1" ht="25.5" customHeight="1" x14ac:dyDescent="0.2">
      <c r="A2285" s="8"/>
      <c r="B2285" s="149" t="s">
        <v>1130</v>
      </c>
      <c r="C2285" s="150"/>
      <c r="D2285" s="150"/>
      <c r="E2285" s="150"/>
      <c r="F2285" s="150"/>
      <c r="G2285" s="151"/>
      <c r="H2285" s="8"/>
      <c r="I2285" s="18">
        <f>SUM(I2282:I2284)</f>
        <v>1054.1100000000001</v>
      </c>
      <c r="J2285" s="18">
        <f>SUM(J2282:J2284)</f>
        <v>1344.94</v>
      </c>
    </row>
    <row r="2286" spans="1:10" s="1" customFormat="1" ht="25.5" customHeight="1" x14ac:dyDescent="0.2">
      <c r="A2286" s="8"/>
      <c r="B2286" s="9" t="s">
        <v>1131</v>
      </c>
      <c r="C2286" s="137" t="s">
        <v>1132</v>
      </c>
      <c r="D2286" s="138"/>
      <c r="E2286" s="8"/>
      <c r="F2286" s="8"/>
      <c r="G2286" s="8"/>
      <c r="H2286" s="8"/>
      <c r="I2286" s="8"/>
      <c r="J2286" s="8"/>
    </row>
    <row r="2287" spans="1:10" s="1" customFormat="1" ht="25.5" customHeight="1" x14ac:dyDescent="0.2">
      <c r="A2287" s="8"/>
      <c r="B2287" s="23">
        <v>44958</v>
      </c>
      <c r="C2287" s="137" t="s">
        <v>1133</v>
      </c>
      <c r="D2287" s="138"/>
      <c r="E2287" s="8"/>
      <c r="F2287" s="8"/>
      <c r="G2287" s="8"/>
      <c r="H2287" s="8"/>
      <c r="I2287" s="8"/>
      <c r="J2287" s="8"/>
    </row>
    <row r="2288" spans="1:10" s="1" customFormat="1" ht="25.5" customHeight="1" x14ac:dyDescent="0.2">
      <c r="A2288" s="11" t="s">
        <v>308</v>
      </c>
      <c r="B2288" s="11" t="s">
        <v>1134</v>
      </c>
      <c r="C2288" s="139" t="s">
        <v>1175</v>
      </c>
      <c r="D2288" s="140"/>
      <c r="E2288" s="11" t="s">
        <v>35</v>
      </c>
      <c r="F2288" s="12">
        <v>8</v>
      </c>
      <c r="G2288" s="12">
        <v>15.25</v>
      </c>
      <c r="H2288" s="12">
        <v>19.46</v>
      </c>
      <c r="I2288" s="13">
        <f t="shared" ref="I2288:I2293" si="202">F2288*G2288</f>
        <v>122</v>
      </c>
      <c r="J2288" s="13">
        <f t="shared" ref="J2288:J2293" si="203">F2288*H2288</f>
        <v>155.68</v>
      </c>
    </row>
    <row r="2289" spans="1:10" s="1" customFormat="1" ht="25.5" customHeight="1" x14ac:dyDescent="0.2">
      <c r="A2289" s="11" t="s">
        <v>308</v>
      </c>
      <c r="B2289" s="11" t="s">
        <v>1135</v>
      </c>
      <c r="C2289" s="139" t="s">
        <v>1176</v>
      </c>
      <c r="D2289" s="140"/>
      <c r="E2289" s="11" t="s">
        <v>35</v>
      </c>
      <c r="F2289" s="12">
        <v>16</v>
      </c>
      <c r="G2289" s="12">
        <v>21.01</v>
      </c>
      <c r="H2289" s="12">
        <v>26.81</v>
      </c>
      <c r="I2289" s="13">
        <f t="shared" si="202"/>
        <v>336.16</v>
      </c>
      <c r="J2289" s="13">
        <f t="shared" si="203"/>
        <v>428.96</v>
      </c>
    </row>
    <row r="2290" spans="1:10" s="1" customFormat="1" ht="25.5" customHeight="1" x14ac:dyDescent="0.2">
      <c r="A2290" s="11" t="s">
        <v>308</v>
      </c>
      <c r="B2290" s="11" t="s">
        <v>1136</v>
      </c>
      <c r="C2290" s="139" t="s">
        <v>1137</v>
      </c>
      <c r="D2290" s="140"/>
      <c r="E2290" s="11" t="s">
        <v>102</v>
      </c>
      <c r="F2290" s="12">
        <v>1</v>
      </c>
      <c r="G2290" s="12">
        <v>64.55</v>
      </c>
      <c r="H2290" s="12">
        <v>82.36</v>
      </c>
      <c r="I2290" s="13">
        <f t="shared" si="202"/>
        <v>64.55</v>
      </c>
      <c r="J2290" s="13">
        <f t="shared" si="203"/>
        <v>82.36</v>
      </c>
    </row>
    <row r="2291" spans="1:10" s="1" customFormat="1" ht="25.5" customHeight="1" x14ac:dyDescent="0.2">
      <c r="A2291" s="11" t="s">
        <v>308</v>
      </c>
      <c r="B2291" s="11" t="s">
        <v>1138</v>
      </c>
      <c r="C2291" s="139" t="s">
        <v>1139</v>
      </c>
      <c r="D2291" s="140"/>
      <c r="E2291" s="11" t="s">
        <v>102</v>
      </c>
      <c r="F2291" s="12">
        <v>2</v>
      </c>
      <c r="G2291" s="12">
        <v>46.92</v>
      </c>
      <c r="H2291" s="12">
        <v>59.87</v>
      </c>
      <c r="I2291" s="13">
        <f t="shared" si="202"/>
        <v>93.84</v>
      </c>
      <c r="J2291" s="13">
        <f t="shared" si="203"/>
        <v>119.74</v>
      </c>
    </row>
    <row r="2292" spans="1:10" s="1" customFormat="1" ht="25.5" customHeight="1" x14ac:dyDescent="0.2">
      <c r="A2292" s="11" t="s">
        <v>308</v>
      </c>
      <c r="B2292" s="11" t="s">
        <v>1140</v>
      </c>
      <c r="C2292" s="139" t="s">
        <v>1141</v>
      </c>
      <c r="D2292" s="140"/>
      <c r="E2292" s="11" t="s">
        <v>102</v>
      </c>
      <c r="F2292" s="12">
        <v>2</v>
      </c>
      <c r="G2292" s="12">
        <v>63.34</v>
      </c>
      <c r="H2292" s="12">
        <v>80.819999999999993</v>
      </c>
      <c r="I2292" s="13">
        <f t="shared" si="202"/>
        <v>126.68</v>
      </c>
      <c r="J2292" s="13">
        <f t="shared" si="203"/>
        <v>161.63999999999999</v>
      </c>
    </row>
    <row r="2293" spans="1:10" s="1" customFormat="1" ht="25.5" customHeight="1" x14ac:dyDescent="0.2">
      <c r="A2293" s="11" t="s">
        <v>308</v>
      </c>
      <c r="B2293" s="11" t="s">
        <v>1142</v>
      </c>
      <c r="C2293" s="139" t="s">
        <v>1143</v>
      </c>
      <c r="D2293" s="140"/>
      <c r="E2293" s="11" t="s">
        <v>102</v>
      </c>
      <c r="F2293" s="12">
        <v>1</v>
      </c>
      <c r="G2293" s="12">
        <v>112.15</v>
      </c>
      <c r="H2293" s="12">
        <v>143.09</v>
      </c>
      <c r="I2293" s="13">
        <f t="shared" si="202"/>
        <v>112.15</v>
      </c>
      <c r="J2293" s="13">
        <f t="shared" si="203"/>
        <v>143.09</v>
      </c>
    </row>
    <row r="2294" spans="1:10" s="1" customFormat="1" ht="25.5" customHeight="1" x14ac:dyDescent="0.2">
      <c r="A2294" s="8"/>
      <c r="B2294" s="23">
        <v>44959</v>
      </c>
      <c r="C2294" s="137" t="s">
        <v>1144</v>
      </c>
      <c r="D2294" s="138"/>
      <c r="E2294" s="8"/>
      <c r="F2294" s="8"/>
      <c r="G2294" s="8"/>
      <c r="H2294" s="8"/>
      <c r="I2294" s="8"/>
      <c r="J2294" s="12"/>
    </row>
    <row r="2295" spans="1:10" s="1" customFormat="1" ht="25.5" customHeight="1" x14ac:dyDescent="0.2">
      <c r="A2295" s="11" t="s">
        <v>308</v>
      </c>
      <c r="B2295" s="11" t="s">
        <v>1145</v>
      </c>
      <c r="C2295" s="139" t="s">
        <v>1146</v>
      </c>
      <c r="D2295" s="140"/>
      <c r="E2295" s="11" t="s">
        <v>102</v>
      </c>
      <c r="F2295" s="12">
        <v>1</v>
      </c>
      <c r="G2295" s="12">
        <v>649.99</v>
      </c>
      <c r="H2295" s="12">
        <v>829.32</v>
      </c>
      <c r="I2295" s="13">
        <f t="shared" ref="I2295:I2300" si="204">F2295*G2295</f>
        <v>649.99</v>
      </c>
      <c r="J2295" s="13">
        <f t="shared" ref="J2295:J2300" si="205">F2295*H2295</f>
        <v>829.32</v>
      </c>
    </row>
    <row r="2296" spans="1:10" s="1" customFormat="1" ht="25.5" customHeight="1" x14ac:dyDescent="0.2">
      <c r="A2296" s="8"/>
      <c r="B2296" s="23">
        <v>44960</v>
      </c>
      <c r="C2296" s="137" t="s">
        <v>684</v>
      </c>
      <c r="D2296" s="138"/>
      <c r="E2296" s="8"/>
      <c r="F2296" s="8"/>
      <c r="G2296" s="8"/>
      <c r="H2296" s="8"/>
      <c r="I2296" s="13">
        <f t="shared" si="204"/>
        <v>0</v>
      </c>
      <c r="J2296" s="13">
        <f t="shared" si="205"/>
        <v>0</v>
      </c>
    </row>
    <row r="2297" spans="1:10" s="1" customFormat="1" ht="25.5" customHeight="1" x14ac:dyDescent="0.2">
      <c r="A2297" s="11" t="s">
        <v>308</v>
      </c>
      <c r="B2297" s="11" t="s">
        <v>1147</v>
      </c>
      <c r="C2297" s="139" t="s">
        <v>1148</v>
      </c>
      <c r="D2297" s="140"/>
      <c r="E2297" s="11" t="s">
        <v>102</v>
      </c>
      <c r="F2297" s="12">
        <v>3</v>
      </c>
      <c r="G2297" s="12">
        <v>33.46</v>
      </c>
      <c r="H2297" s="12">
        <v>42.69</v>
      </c>
      <c r="I2297" s="13">
        <f t="shared" si="204"/>
        <v>100.38</v>
      </c>
      <c r="J2297" s="13">
        <f t="shared" si="205"/>
        <v>128.07</v>
      </c>
    </row>
    <row r="2298" spans="1:10" s="1" customFormat="1" ht="25.5" customHeight="1" x14ac:dyDescent="0.2">
      <c r="A2298" s="11" t="s">
        <v>308</v>
      </c>
      <c r="B2298" s="11" t="s">
        <v>1149</v>
      </c>
      <c r="C2298" s="139" t="s">
        <v>1150</v>
      </c>
      <c r="D2298" s="140"/>
      <c r="E2298" s="11" t="s">
        <v>102</v>
      </c>
      <c r="F2298" s="12">
        <v>3</v>
      </c>
      <c r="G2298" s="12">
        <v>21.01</v>
      </c>
      <c r="H2298" s="12">
        <v>26.81</v>
      </c>
      <c r="I2298" s="13">
        <f t="shared" si="204"/>
        <v>63.03</v>
      </c>
      <c r="J2298" s="13">
        <f t="shared" si="205"/>
        <v>80.429999999999993</v>
      </c>
    </row>
    <row r="2299" spans="1:10" s="1" customFormat="1" ht="25.5" customHeight="1" x14ac:dyDescent="0.2">
      <c r="A2299" s="11" t="s">
        <v>308</v>
      </c>
      <c r="B2299" s="11" t="s">
        <v>1151</v>
      </c>
      <c r="C2299" s="139" t="s">
        <v>1152</v>
      </c>
      <c r="D2299" s="140"/>
      <c r="E2299" s="11" t="s">
        <v>102</v>
      </c>
      <c r="F2299" s="12">
        <v>2</v>
      </c>
      <c r="G2299" s="12">
        <v>33.46</v>
      </c>
      <c r="H2299" s="12">
        <v>42.69</v>
      </c>
      <c r="I2299" s="13">
        <f t="shared" si="204"/>
        <v>66.92</v>
      </c>
      <c r="J2299" s="13">
        <f t="shared" si="205"/>
        <v>85.38</v>
      </c>
    </row>
    <row r="2300" spans="1:10" s="1" customFormat="1" ht="25.5" customHeight="1" x14ac:dyDescent="0.2">
      <c r="A2300" s="11" t="s">
        <v>308</v>
      </c>
      <c r="B2300" s="11" t="s">
        <v>1153</v>
      </c>
      <c r="C2300" s="139" t="s">
        <v>1154</v>
      </c>
      <c r="D2300" s="140"/>
      <c r="E2300" s="11" t="s">
        <v>81</v>
      </c>
      <c r="F2300" s="12">
        <v>3</v>
      </c>
      <c r="G2300" s="12">
        <v>9.4</v>
      </c>
      <c r="H2300" s="12">
        <v>11.99</v>
      </c>
      <c r="I2300" s="13">
        <f t="shared" si="204"/>
        <v>28.200000000000003</v>
      </c>
      <c r="J2300" s="13">
        <f t="shared" si="205"/>
        <v>35.97</v>
      </c>
    </row>
    <row r="2301" spans="1:10" s="1" customFormat="1" ht="25.5" customHeight="1" x14ac:dyDescent="0.2">
      <c r="A2301" s="8"/>
      <c r="B2301" s="149" t="s">
        <v>1155</v>
      </c>
      <c r="C2301" s="150"/>
      <c r="D2301" s="150"/>
      <c r="E2301" s="150"/>
      <c r="F2301" s="150"/>
      <c r="G2301" s="151"/>
      <c r="H2301" s="8"/>
      <c r="I2301" s="18">
        <f>SUM(I2288:I2300)</f>
        <v>1763.9</v>
      </c>
      <c r="J2301" s="18">
        <f>SUM(J2288:J2300)</f>
        <v>2250.64</v>
      </c>
    </row>
    <row r="2302" spans="1:10" s="1" customFormat="1" ht="25.5" customHeight="1" x14ac:dyDescent="0.2">
      <c r="A2302" s="8"/>
      <c r="B2302" s="149" t="s">
        <v>1156</v>
      </c>
      <c r="C2302" s="150"/>
      <c r="D2302" s="150"/>
      <c r="E2302" s="150"/>
      <c r="F2302" s="150"/>
      <c r="G2302" s="151"/>
      <c r="H2302" s="8"/>
      <c r="I2302" s="14">
        <f>SUM(I2301,I2285)</f>
        <v>2818.01</v>
      </c>
      <c r="J2302" s="15">
        <f>SUM(J2301,J2285)-0.08</f>
        <v>3595.5</v>
      </c>
    </row>
    <row r="2303" spans="1:10" s="1" customFormat="1" ht="25.5" customHeight="1" x14ac:dyDescent="0.2">
      <c r="A2303" s="8"/>
      <c r="B2303" s="9" t="s">
        <v>1157</v>
      </c>
      <c r="C2303" s="137" t="s">
        <v>1158</v>
      </c>
      <c r="D2303" s="138"/>
      <c r="E2303" s="8"/>
      <c r="F2303" s="8"/>
      <c r="G2303" s="8"/>
      <c r="H2303" s="8"/>
      <c r="I2303" s="8"/>
      <c r="J2303" s="8"/>
    </row>
    <row r="2304" spans="1:10" s="1" customFormat="1" ht="25.5" customHeight="1" x14ac:dyDescent="0.2">
      <c r="A2304" s="8"/>
      <c r="B2304" s="9" t="s">
        <v>1159</v>
      </c>
      <c r="C2304" s="137" t="s">
        <v>1160</v>
      </c>
      <c r="D2304" s="152"/>
      <c r="E2304" s="152"/>
      <c r="F2304" s="152"/>
      <c r="G2304" s="152"/>
      <c r="H2304" s="152"/>
      <c r="I2304" s="138"/>
      <c r="J2304" s="8"/>
    </row>
    <row r="2305" spans="1:10" s="1" customFormat="1" ht="25.5" customHeight="1" x14ac:dyDescent="0.2">
      <c r="A2305" s="8"/>
      <c r="B2305" s="23">
        <v>45292</v>
      </c>
      <c r="C2305" s="137" t="s">
        <v>626</v>
      </c>
      <c r="D2305" s="152"/>
      <c r="E2305" s="152"/>
      <c r="F2305" s="152"/>
      <c r="G2305" s="152"/>
      <c r="H2305" s="152"/>
      <c r="I2305" s="138"/>
      <c r="J2305" s="8"/>
    </row>
    <row r="2306" spans="1:10" s="1" customFormat="1" ht="25.5" customHeight="1" x14ac:dyDescent="0.2">
      <c r="A2306" s="10">
        <v>92690</v>
      </c>
      <c r="B2306" s="11" t="s">
        <v>1161</v>
      </c>
      <c r="C2306" s="139" t="s">
        <v>1162</v>
      </c>
      <c r="D2306" s="140"/>
      <c r="E2306" s="11" t="s">
        <v>81</v>
      </c>
      <c r="F2306" s="12">
        <v>18</v>
      </c>
      <c r="G2306" s="12">
        <v>35.74</v>
      </c>
      <c r="H2306" s="12">
        <v>45.6</v>
      </c>
      <c r="I2306" s="13">
        <f>F2306*G2306</f>
        <v>643.32000000000005</v>
      </c>
      <c r="J2306" s="13">
        <f>F2306*H2306</f>
        <v>820.80000000000007</v>
      </c>
    </row>
    <row r="2307" spans="1:10" s="1" customFormat="1" ht="25.5" customHeight="1" x14ac:dyDescent="0.2">
      <c r="A2307" s="10">
        <v>92689</v>
      </c>
      <c r="B2307" s="11" t="s">
        <v>1163</v>
      </c>
      <c r="C2307" s="139" t="s">
        <v>1164</v>
      </c>
      <c r="D2307" s="140"/>
      <c r="E2307" s="11" t="s">
        <v>81</v>
      </c>
      <c r="F2307" s="12">
        <v>18</v>
      </c>
      <c r="G2307" s="12">
        <v>24.41</v>
      </c>
      <c r="H2307" s="12">
        <v>31.14</v>
      </c>
      <c r="I2307" s="13">
        <f>F2307*G2307</f>
        <v>439.38</v>
      </c>
      <c r="J2307" s="13">
        <f>F2307*H2307</f>
        <v>560.52</v>
      </c>
    </row>
    <row r="2308" spans="1:10" s="1" customFormat="1" ht="25.5" customHeight="1" x14ac:dyDescent="0.2">
      <c r="A2308" s="8"/>
      <c r="B2308" s="23">
        <v>45293</v>
      </c>
      <c r="C2308" s="137" t="s">
        <v>450</v>
      </c>
      <c r="D2308" s="138"/>
      <c r="E2308" s="8"/>
      <c r="F2308" s="8"/>
      <c r="G2308" s="8"/>
      <c r="H2308" s="8"/>
      <c r="I2308" s="8"/>
      <c r="J2308" s="8"/>
    </row>
    <row r="2309" spans="1:10" s="1" customFormat="1" ht="25.5" customHeight="1" x14ac:dyDescent="0.2">
      <c r="A2309" s="22" t="s">
        <v>308</v>
      </c>
      <c r="B2309" s="11" t="s">
        <v>1165</v>
      </c>
      <c r="C2309" s="139" t="s">
        <v>1166</v>
      </c>
      <c r="D2309" s="140"/>
      <c r="E2309" s="11" t="s">
        <v>102</v>
      </c>
      <c r="F2309" s="12">
        <v>2</v>
      </c>
      <c r="G2309" s="12">
        <v>18.7</v>
      </c>
      <c r="H2309" s="12">
        <v>23.86</v>
      </c>
      <c r="I2309" s="13">
        <f>F2309*G2309</f>
        <v>37.4</v>
      </c>
      <c r="J2309" s="13">
        <f>F2309*H2309</f>
        <v>47.72</v>
      </c>
    </row>
    <row r="2310" spans="1:10" s="1" customFormat="1" ht="25.5" customHeight="1" x14ac:dyDescent="0.2">
      <c r="A2310" s="8"/>
      <c r="B2310" s="23">
        <v>45294</v>
      </c>
      <c r="C2310" s="137" t="s">
        <v>750</v>
      </c>
      <c r="D2310" s="138"/>
      <c r="E2310" s="8"/>
      <c r="F2310" s="8"/>
      <c r="G2310" s="8"/>
      <c r="H2310" s="8"/>
      <c r="I2310" s="8"/>
      <c r="J2310" s="8"/>
    </row>
    <row r="2311" spans="1:10" s="1" customFormat="1" ht="25.5" customHeight="1" x14ac:dyDescent="0.2">
      <c r="A2311" s="22" t="s">
        <v>308</v>
      </c>
      <c r="B2311" s="11" t="s">
        <v>1167</v>
      </c>
      <c r="C2311" s="139" t="s">
        <v>1168</v>
      </c>
      <c r="D2311" s="140"/>
      <c r="E2311" s="11" t="s">
        <v>102</v>
      </c>
      <c r="F2311" s="12">
        <v>3</v>
      </c>
      <c r="G2311" s="12">
        <v>14.45</v>
      </c>
      <c r="H2311" s="12">
        <v>18.440000000000001</v>
      </c>
      <c r="I2311" s="13">
        <f>F2311*G2311</f>
        <v>43.349999999999994</v>
      </c>
      <c r="J2311" s="13">
        <f>F2311*H2311</f>
        <v>55.320000000000007</v>
      </c>
    </row>
    <row r="2312" spans="1:10" s="1" customFormat="1" ht="25.5" customHeight="1" x14ac:dyDescent="0.2">
      <c r="A2312" s="22" t="s">
        <v>308</v>
      </c>
      <c r="B2312" s="11" t="s">
        <v>1169</v>
      </c>
      <c r="C2312" s="139" t="s">
        <v>1170</v>
      </c>
      <c r="D2312" s="140"/>
      <c r="E2312" s="11" t="s">
        <v>102</v>
      </c>
      <c r="F2312" s="12">
        <v>3</v>
      </c>
      <c r="G2312" s="12">
        <v>11.87</v>
      </c>
      <c r="H2312" s="12">
        <v>15.14</v>
      </c>
      <c r="I2312" s="13">
        <f>F2312*G2312</f>
        <v>35.61</v>
      </c>
      <c r="J2312" s="13">
        <f>F2312*H2312</f>
        <v>45.42</v>
      </c>
    </row>
    <row r="2313" spans="1:10" s="1" customFormat="1" ht="25.5" customHeight="1" x14ac:dyDescent="0.2">
      <c r="A2313" s="8"/>
      <c r="B2313" s="23">
        <v>45295</v>
      </c>
      <c r="C2313" s="137" t="s">
        <v>652</v>
      </c>
      <c r="D2313" s="138"/>
      <c r="E2313" s="8"/>
      <c r="F2313" s="8"/>
      <c r="G2313" s="8"/>
      <c r="H2313" s="8"/>
      <c r="I2313" s="8"/>
      <c r="J2313" s="8"/>
    </row>
    <row r="2314" spans="1:10" s="1" customFormat="1" ht="25.5" customHeight="1" x14ac:dyDescent="0.2">
      <c r="A2314" s="22" t="s">
        <v>308</v>
      </c>
      <c r="B2314" s="11" t="s">
        <v>1171</v>
      </c>
      <c r="C2314" s="139" t="s">
        <v>1172</v>
      </c>
      <c r="D2314" s="140"/>
      <c r="E2314" s="11" t="s">
        <v>102</v>
      </c>
      <c r="F2314" s="12">
        <v>8</v>
      </c>
      <c r="G2314" s="12">
        <v>15.21</v>
      </c>
      <c r="H2314" s="12">
        <v>19.41</v>
      </c>
      <c r="I2314" s="13">
        <f>F2314*G2314</f>
        <v>121.68</v>
      </c>
      <c r="J2314" s="13">
        <f>F2314*H2314</f>
        <v>155.28</v>
      </c>
    </row>
    <row r="2315" spans="1:10" s="1" customFormat="1" ht="25.5" customHeight="1" x14ac:dyDescent="0.2">
      <c r="A2315" s="22" t="s">
        <v>308</v>
      </c>
      <c r="B2315" s="11" t="s">
        <v>1173</v>
      </c>
      <c r="C2315" s="139" t="s">
        <v>1174</v>
      </c>
      <c r="D2315" s="140"/>
      <c r="E2315" s="11" t="s">
        <v>102</v>
      </c>
      <c r="F2315" s="12">
        <v>2</v>
      </c>
      <c r="G2315" s="12">
        <v>15.21</v>
      </c>
      <c r="H2315" s="12">
        <v>19.41</v>
      </c>
      <c r="I2315" s="13">
        <f>F2315*G2315</f>
        <v>30.42</v>
      </c>
      <c r="J2315" s="13">
        <f>F2315*H2315</f>
        <v>38.82</v>
      </c>
    </row>
    <row r="2316" spans="1:10" s="1" customFormat="1" ht="25.5" customHeight="1" x14ac:dyDescent="0.2">
      <c r="A2316" s="8"/>
      <c r="B2316" s="23">
        <v>45296</v>
      </c>
      <c r="C2316" s="137" t="s">
        <v>1177</v>
      </c>
      <c r="D2316" s="138"/>
      <c r="E2316" s="8"/>
      <c r="F2316" s="8"/>
      <c r="G2316" s="8"/>
      <c r="H2316" s="8"/>
      <c r="I2316" s="8"/>
      <c r="J2316" s="8"/>
    </row>
    <row r="2317" spans="1:10" s="1" customFormat="1" ht="25.5" customHeight="1" x14ac:dyDescent="0.2">
      <c r="A2317" s="22" t="s">
        <v>308</v>
      </c>
      <c r="B2317" s="11" t="s">
        <v>1178</v>
      </c>
      <c r="C2317" s="139" t="s">
        <v>1179</v>
      </c>
      <c r="D2317" s="140"/>
      <c r="E2317" s="11" t="s">
        <v>102</v>
      </c>
      <c r="F2317" s="12">
        <v>2</v>
      </c>
      <c r="G2317" s="12">
        <v>20.8</v>
      </c>
      <c r="H2317" s="12">
        <v>26.54</v>
      </c>
      <c r="I2317" s="13">
        <f>F2317*G2317</f>
        <v>41.6</v>
      </c>
      <c r="J2317" s="13">
        <f>F2317*H2317</f>
        <v>53.08</v>
      </c>
    </row>
    <row r="2318" spans="1:10" s="1" customFormat="1" ht="25.5" customHeight="1" x14ac:dyDescent="0.2">
      <c r="A2318" s="8"/>
      <c r="B2318" s="23">
        <v>45297</v>
      </c>
      <c r="C2318" s="137" t="s">
        <v>473</v>
      </c>
      <c r="D2318" s="138"/>
      <c r="E2318" s="8"/>
      <c r="F2318" s="8"/>
      <c r="G2318" s="8"/>
      <c r="H2318" s="8"/>
      <c r="I2318" s="8"/>
      <c r="J2318" s="8"/>
    </row>
    <row r="2319" spans="1:10" s="1" customFormat="1" ht="25.5" customHeight="1" x14ac:dyDescent="0.2">
      <c r="A2319" s="22" t="s">
        <v>308</v>
      </c>
      <c r="B2319" s="11" t="s">
        <v>1180</v>
      </c>
      <c r="C2319" s="139" t="s">
        <v>1181</v>
      </c>
      <c r="D2319" s="140"/>
      <c r="E2319" s="11" t="s">
        <v>102</v>
      </c>
      <c r="F2319" s="12">
        <v>3</v>
      </c>
      <c r="G2319" s="12">
        <v>79</v>
      </c>
      <c r="H2319" s="12">
        <v>100.8</v>
      </c>
      <c r="I2319" s="13">
        <f>F2319*G2319</f>
        <v>237</v>
      </c>
      <c r="J2319" s="13">
        <f>F2319*H2319</f>
        <v>302.39999999999998</v>
      </c>
    </row>
    <row r="2320" spans="1:10" s="1" customFormat="1" ht="25.5" customHeight="1" x14ac:dyDescent="0.2">
      <c r="A2320" s="8"/>
      <c r="B2320" s="23">
        <v>45298</v>
      </c>
      <c r="C2320" s="137" t="s">
        <v>1182</v>
      </c>
      <c r="D2320" s="138"/>
      <c r="E2320" s="8"/>
      <c r="F2320" s="8"/>
      <c r="G2320" s="8"/>
      <c r="H2320" s="8"/>
      <c r="I2320" s="8"/>
      <c r="J2320" s="8"/>
    </row>
    <row r="2321" spans="1:10" s="1" customFormat="1" ht="25.5" customHeight="1" x14ac:dyDescent="0.2">
      <c r="A2321" s="22" t="s">
        <v>308</v>
      </c>
      <c r="B2321" s="11" t="s">
        <v>1183</v>
      </c>
      <c r="C2321" s="139" t="s">
        <v>1184</v>
      </c>
      <c r="D2321" s="140"/>
      <c r="E2321" s="11" t="s">
        <v>102</v>
      </c>
      <c r="F2321" s="12">
        <v>3</v>
      </c>
      <c r="G2321" s="12">
        <v>18.899999999999999</v>
      </c>
      <c r="H2321" s="12">
        <v>24.11</v>
      </c>
      <c r="I2321" s="13">
        <f>F2321*G2321</f>
        <v>56.699999999999996</v>
      </c>
      <c r="J2321" s="13">
        <f>F2321*H2321</f>
        <v>72.33</v>
      </c>
    </row>
    <row r="2322" spans="1:10" s="1" customFormat="1" ht="25.5" customHeight="1" x14ac:dyDescent="0.2">
      <c r="A2322" s="22" t="s">
        <v>308</v>
      </c>
      <c r="B2322" s="11" t="s">
        <v>1185</v>
      </c>
      <c r="C2322" s="139" t="s">
        <v>1186</v>
      </c>
      <c r="D2322" s="140"/>
      <c r="E2322" s="11" t="s">
        <v>102</v>
      </c>
      <c r="F2322" s="12">
        <v>5</v>
      </c>
      <c r="G2322" s="12">
        <v>15.9</v>
      </c>
      <c r="H2322" s="12">
        <v>20.29</v>
      </c>
      <c r="I2322" s="13">
        <f>F2322*G2322</f>
        <v>79.5</v>
      </c>
      <c r="J2322" s="13">
        <f>F2322*H2322</f>
        <v>101.44999999999999</v>
      </c>
    </row>
    <row r="2323" spans="1:10" s="1" customFormat="1" ht="25.5" customHeight="1" x14ac:dyDescent="0.2">
      <c r="A2323" s="8"/>
      <c r="B2323" s="23">
        <v>45299</v>
      </c>
      <c r="C2323" s="137" t="s">
        <v>1187</v>
      </c>
      <c r="D2323" s="138"/>
      <c r="E2323" s="8"/>
      <c r="F2323" s="8"/>
      <c r="G2323" s="8"/>
      <c r="H2323" s="8"/>
      <c r="I2323" s="8"/>
      <c r="J2323" s="8"/>
    </row>
    <row r="2324" spans="1:10" s="1" customFormat="1" ht="25.5" customHeight="1" x14ac:dyDescent="0.2">
      <c r="A2324" s="22" t="s">
        <v>308</v>
      </c>
      <c r="B2324" s="11" t="s">
        <v>1188</v>
      </c>
      <c r="C2324" s="139" t="s">
        <v>1189</v>
      </c>
      <c r="D2324" s="140"/>
      <c r="E2324" s="11" t="s">
        <v>102</v>
      </c>
      <c r="F2324" s="12">
        <v>4</v>
      </c>
      <c r="G2324" s="12">
        <v>96</v>
      </c>
      <c r="H2324" s="12">
        <v>122.49</v>
      </c>
      <c r="I2324" s="13">
        <f>F2324*G2324</f>
        <v>384</v>
      </c>
      <c r="J2324" s="13">
        <f>F2324*H2324</f>
        <v>489.96</v>
      </c>
    </row>
    <row r="2325" spans="1:10" s="1" customFormat="1" ht="25.5" customHeight="1" x14ac:dyDescent="0.2">
      <c r="A2325" s="8"/>
      <c r="B2325" s="23">
        <v>45300</v>
      </c>
      <c r="C2325" s="137" t="s">
        <v>1190</v>
      </c>
      <c r="D2325" s="138"/>
      <c r="E2325" s="8"/>
      <c r="F2325" s="8"/>
      <c r="G2325" s="8"/>
      <c r="H2325" s="8"/>
      <c r="I2325" s="8"/>
      <c r="J2325" s="8"/>
    </row>
    <row r="2326" spans="1:10" s="1" customFormat="1" ht="25.5" customHeight="1" x14ac:dyDescent="0.2">
      <c r="A2326" s="22" t="s">
        <v>308</v>
      </c>
      <c r="B2326" s="11" t="s">
        <v>1191</v>
      </c>
      <c r="C2326" s="139" t="s">
        <v>1192</v>
      </c>
      <c r="D2326" s="140"/>
      <c r="E2326" s="11" t="s">
        <v>102</v>
      </c>
      <c r="F2326" s="12">
        <v>1</v>
      </c>
      <c r="G2326" s="12">
        <v>28.29</v>
      </c>
      <c r="H2326" s="12">
        <v>36.1</v>
      </c>
      <c r="I2326" s="13">
        <f>F2326*G2326</f>
        <v>28.29</v>
      </c>
      <c r="J2326" s="13">
        <f>F2326*H2326</f>
        <v>36.1</v>
      </c>
    </row>
    <row r="2327" spans="1:10" s="1" customFormat="1" ht="25.5" customHeight="1" x14ac:dyDescent="0.2">
      <c r="A2327" s="22" t="s">
        <v>308</v>
      </c>
      <c r="B2327" s="11" t="s">
        <v>1193</v>
      </c>
      <c r="C2327" s="139" t="s">
        <v>1194</v>
      </c>
      <c r="D2327" s="140"/>
      <c r="E2327" s="11" t="s">
        <v>102</v>
      </c>
      <c r="F2327" s="12">
        <v>2</v>
      </c>
      <c r="G2327" s="12">
        <v>21.93</v>
      </c>
      <c r="H2327" s="12">
        <v>27.98</v>
      </c>
      <c r="I2327" s="13">
        <f>F2327*G2327</f>
        <v>43.86</v>
      </c>
      <c r="J2327" s="13">
        <f>F2327*H2327</f>
        <v>55.96</v>
      </c>
    </row>
    <row r="2328" spans="1:10" s="1" customFormat="1" ht="25.5" customHeight="1" x14ac:dyDescent="0.2">
      <c r="A2328" s="8"/>
      <c r="B2328" s="9" t="s">
        <v>1195</v>
      </c>
      <c r="C2328" s="137" t="s">
        <v>1196</v>
      </c>
      <c r="D2328" s="138"/>
      <c r="E2328" s="8"/>
      <c r="F2328" s="8"/>
      <c r="G2328" s="8"/>
      <c r="H2328" s="8"/>
      <c r="I2328" s="8"/>
      <c r="J2328" s="8"/>
    </row>
    <row r="2329" spans="1:10" s="1" customFormat="1" ht="25.5" customHeight="1" x14ac:dyDescent="0.2">
      <c r="A2329" s="8"/>
      <c r="B2329" s="23">
        <v>45323</v>
      </c>
      <c r="C2329" s="137" t="s">
        <v>1197</v>
      </c>
      <c r="D2329" s="138"/>
      <c r="E2329" s="8"/>
      <c r="F2329" s="8"/>
      <c r="G2329" s="8"/>
      <c r="H2329" s="8"/>
      <c r="I2329" s="8"/>
      <c r="J2329" s="8"/>
    </row>
    <row r="2330" spans="1:10" s="1" customFormat="1" ht="25.5" customHeight="1" x14ac:dyDescent="0.2">
      <c r="A2330" s="22" t="s">
        <v>308</v>
      </c>
      <c r="B2330" s="11" t="s">
        <v>1198</v>
      </c>
      <c r="C2330" s="139" t="s">
        <v>1199</v>
      </c>
      <c r="D2330" s="140"/>
      <c r="E2330" s="11" t="s">
        <v>102</v>
      </c>
      <c r="F2330" s="12">
        <v>2</v>
      </c>
      <c r="G2330" s="12">
        <v>14.99</v>
      </c>
      <c r="H2330" s="12">
        <v>19.13</v>
      </c>
      <c r="I2330" s="13">
        <f>F2330*G2330</f>
        <v>29.98</v>
      </c>
      <c r="J2330" s="13">
        <f>F2330*H2330</f>
        <v>38.26</v>
      </c>
    </row>
    <row r="2331" spans="1:10" s="1" customFormat="1" ht="25.5" customHeight="1" x14ac:dyDescent="0.2">
      <c r="A2331" s="8"/>
      <c r="B2331" s="23">
        <v>45324</v>
      </c>
      <c r="C2331" s="137" t="s">
        <v>1200</v>
      </c>
      <c r="D2331" s="138"/>
      <c r="E2331" s="8"/>
      <c r="F2331" s="8"/>
      <c r="G2331" s="8"/>
      <c r="H2331" s="8"/>
      <c r="I2331" s="8"/>
      <c r="J2331" s="8"/>
    </row>
    <row r="2332" spans="1:10" s="1" customFormat="1" ht="25.5" customHeight="1" x14ac:dyDescent="0.2">
      <c r="A2332" s="22" t="s">
        <v>308</v>
      </c>
      <c r="B2332" s="11" t="s">
        <v>1201</v>
      </c>
      <c r="C2332" s="139" t="s">
        <v>1202</v>
      </c>
      <c r="D2332" s="140"/>
      <c r="E2332" s="11" t="s">
        <v>102</v>
      </c>
      <c r="F2332" s="12">
        <v>1</v>
      </c>
      <c r="G2332" s="12">
        <v>180</v>
      </c>
      <c r="H2332" s="12">
        <v>229.66</v>
      </c>
      <c r="I2332" s="13">
        <f>F2332*G2332</f>
        <v>180</v>
      </c>
      <c r="J2332" s="13">
        <f>F2332*H2332</f>
        <v>229.66</v>
      </c>
    </row>
    <row r="2333" spans="1:10" s="1" customFormat="1" ht="25.5" customHeight="1" x14ac:dyDescent="0.2">
      <c r="A2333" s="22" t="s">
        <v>308</v>
      </c>
      <c r="B2333" s="11" t="s">
        <v>1203</v>
      </c>
      <c r="C2333" s="139" t="s">
        <v>1204</v>
      </c>
      <c r="D2333" s="140"/>
      <c r="E2333" s="11" t="s">
        <v>102</v>
      </c>
      <c r="F2333" s="12">
        <v>2</v>
      </c>
      <c r="G2333" s="12">
        <v>49.9</v>
      </c>
      <c r="H2333" s="12">
        <v>63.67</v>
      </c>
      <c r="I2333" s="13">
        <f>F2333*G2333</f>
        <v>99.8</v>
      </c>
      <c r="J2333" s="13">
        <f>F2333*H2333</f>
        <v>127.34</v>
      </c>
    </row>
    <row r="2334" spans="1:10" s="1" customFormat="1" ht="25.5" customHeight="1" x14ac:dyDescent="0.2">
      <c r="A2334" s="8"/>
      <c r="B2334" s="23">
        <v>45325</v>
      </c>
      <c r="C2334" s="137" t="s">
        <v>1205</v>
      </c>
      <c r="D2334" s="138"/>
      <c r="E2334" s="8"/>
      <c r="F2334" s="8"/>
      <c r="G2334" s="8"/>
      <c r="H2334" s="8"/>
      <c r="I2334" s="8"/>
      <c r="J2334" s="8"/>
    </row>
    <row r="2335" spans="1:10" s="1" customFormat="1" ht="25.5" customHeight="1" x14ac:dyDescent="0.2">
      <c r="A2335" s="22" t="s">
        <v>308</v>
      </c>
      <c r="B2335" s="11" t="s">
        <v>1206</v>
      </c>
      <c r="C2335" s="139" t="s">
        <v>1207</v>
      </c>
      <c r="D2335" s="140"/>
      <c r="E2335" s="11" t="s">
        <v>102</v>
      </c>
      <c r="F2335" s="12">
        <v>2</v>
      </c>
      <c r="G2335" s="12">
        <v>49</v>
      </c>
      <c r="H2335" s="12">
        <v>62.52</v>
      </c>
      <c r="I2335" s="13">
        <f>F2335*G2335</f>
        <v>98</v>
      </c>
      <c r="J2335" s="13">
        <f>F2335*H2335</f>
        <v>125.04</v>
      </c>
    </row>
    <row r="2336" spans="1:10" s="1" customFormat="1" ht="25.5" customHeight="1" x14ac:dyDescent="0.2">
      <c r="A2336" s="8"/>
      <c r="B2336" s="23">
        <v>45325</v>
      </c>
      <c r="C2336" s="137" t="s">
        <v>1208</v>
      </c>
      <c r="D2336" s="138"/>
      <c r="E2336" s="8"/>
      <c r="F2336" s="8"/>
      <c r="G2336" s="8"/>
      <c r="H2336" s="8"/>
      <c r="I2336" s="8"/>
      <c r="J2336" s="8"/>
    </row>
    <row r="2337" spans="1:10" s="1" customFormat="1" ht="25.5" customHeight="1" x14ac:dyDescent="0.2">
      <c r="A2337" s="22" t="s">
        <v>308</v>
      </c>
      <c r="B2337" s="11" t="s">
        <v>1206</v>
      </c>
      <c r="C2337" s="139" t="s">
        <v>1209</v>
      </c>
      <c r="D2337" s="140"/>
      <c r="E2337" s="11" t="s">
        <v>102</v>
      </c>
      <c r="F2337" s="12">
        <v>1</v>
      </c>
      <c r="G2337" s="12">
        <v>26.89</v>
      </c>
      <c r="H2337" s="12">
        <v>34.31</v>
      </c>
      <c r="I2337" s="13">
        <f>F2337*G2337</f>
        <v>26.89</v>
      </c>
      <c r="J2337" s="13">
        <f>F2337*H2337</f>
        <v>34.31</v>
      </c>
    </row>
    <row r="2338" spans="1:10" s="1" customFormat="1" ht="25.5" customHeight="1" x14ac:dyDescent="0.2">
      <c r="A2338" s="8"/>
      <c r="B2338" s="23">
        <v>45326</v>
      </c>
      <c r="C2338" s="137" t="s">
        <v>1210</v>
      </c>
      <c r="D2338" s="138"/>
      <c r="E2338" s="8"/>
      <c r="F2338" s="8"/>
      <c r="G2338" s="8"/>
      <c r="H2338" s="8"/>
      <c r="I2338" s="8"/>
      <c r="J2338" s="8"/>
    </row>
    <row r="2339" spans="1:10" s="1" customFormat="1" ht="25.5" customHeight="1" x14ac:dyDescent="0.2">
      <c r="A2339" s="22" t="s">
        <v>308</v>
      </c>
      <c r="B2339" s="11" t="s">
        <v>1211</v>
      </c>
      <c r="C2339" s="139" t="s">
        <v>1212</v>
      </c>
      <c r="D2339" s="140"/>
      <c r="E2339" s="11" t="s">
        <v>102</v>
      </c>
      <c r="F2339" s="12">
        <v>6</v>
      </c>
      <c r="G2339" s="12">
        <v>0.17</v>
      </c>
      <c r="H2339" s="12">
        <v>0.22</v>
      </c>
      <c r="I2339" s="13">
        <f>F2339*G2339</f>
        <v>1.02</v>
      </c>
      <c r="J2339" s="13">
        <f>F2339*H2339</f>
        <v>1.32</v>
      </c>
    </row>
    <row r="2340" spans="1:10" s="1" customFormat="1" ht="25.5" customHeight="1" x14ac:dyDescent="0.2">
      <c r="A2340" s="8"/>
      <c r="B2340" s="149" t="s">
        <v>1213</v>
      </c>
      <c r="C2340" s="150"/>
      <c r="D2340" s="150"/>
      <c r="E2340" s="150"/>
      <c r="F2340" s="150"/>
      <c r="G2340" s="151"/>
      <c r="H2340" s="8"/>
      <c r="I2340" s="14">
        <f>SUM(I2306:I2339)-0.05</f>
        <v>2657.75</v>
      </c>
      <c r="J2340" s="15">
        <f>SUM(J2306:J2339)-0.07</f>
        <v>3391.02</v>
      </c>
    </row>
    <row r="2341" spans="1:10" s="1" customFormat="1" ht="25.5" customHeight="1" x14ac:dyDescent="0.2">
      <c r="A2341" s="8"/>
      <c r="B2341" s="9" t="s">
        <v>1214</v>
      </c>
      <c r="C2341" s="137" t="s">
        <v>1215</v>
      </c>
      <c r="D2341" s="138"/>
      <c r="E2341" s="8"/>
      <c r="F2341" s="8"/>
      <c r="G2341" s="8"/>
      <c r="H2341" s="8"/>
      <c r="I2341" s="8"/>
      <c r="J2341" s="8"/>
    </row>
    <row r="2342" spans="1:10" s="1" customFormat="1" ht="25.5" customHeight="1" x14ac:dyDescent="0.2">
      <c r="A2342" s="8"/>
      <c r="B2342" s="9" t="s">
        <v>1216</v>
      </c>
      <c r="C2342" s="137" t="s">
        <v>1196</v>
      </c>
      <c r="D2342" s="152"/>
      <c r="E2342" s="152"/>
      <c r="F2342" s="152"/>
      <c r="G2342" s="152"/>
      <c r="H2342" s="152"/>
      <c r="I2342" s="138"/>
      <c r="J2342" s="8"/>
    </row>
    <row r="2343" spans="1:10" s="1" customFormat="1" ht="25.5" customHeight="1" x14ac:dyDescent="0.2">
      <c r="A2343" s="27" t="s">
        <v>78</v>
      </c>
      <c r="B2343" s="21">
        <v>45658</v>
      </c>
      <c r="C2343" s="139" t="s">
        <v>1217</v>
      </c>
      <c r="D2343" s="140"/>
      <c r="E2343" s="11" t="s">
        <v>102</v>
      </c>
      <c r="F2343" s="12">
        <v>8</v>
      </c>
      <c r="G2343" s="12">
        <v>95.52</v>
      </c>
      <c r="H2343" s="12">
        <v>121.87</v>
      </c>
      <c r="I2343" s="13">
        <f t="shared" ref="I2343:I2355" si="206">F2343*G2343</f>
        <v>764.16</v>
      </c>
      <c r="J2343" s="13">
        <f t="shared" ref="J2343:J2355" si="207">F2343*H2343</f>
        <v>974.96</v>
      </c>
    </row>
    <row r="2344" spans="1:10" s="1" customFormat="1" ht="25.5" customHeight="1" x14ac:dyDescent="0.2">
      <c r="A2344" s="22" t="s">
        <v>308</v>
      </c>
      <c r="B2344" s="21">
        <v>45659</v>
      </c>
      <c r="C2344" s="139" t="s">
        <v>1218</v>
      </c>
      <c r="D2344" s="140"/>
      <c r="E2344" s="11" t="s">
        <v>102</v>
      </c>
      <c r="F2344" s="12">
        <v>8</v>
      </c>
      <c r="G2344" s="12">
        <v>9.93</v>
      </c>
      <c r="H2344" s="12">
        <v>12.67</v>
      </c>
      <c r="I2344" s="13">
        <f t="shared" si="206"/>
        <v>79.44</v>
      </c>
      <c r="J2344" s="13">
        <f t="shared" si="207"/>
        <v>101.36</v>
      </c>
    </row>
    <row r="2345" spans="1:10" s="1" customFormat="1" ht="25.5" customHeight="1" x14ac:dyDescent="0.2">
      <c r="A2345" s="22" t="s">
        <v>308</v>
      </c>
      <c r="B2345" s="21">
        <v>45660</v>
      </c>
      <c r="C2345" s="139" t="s">
        <v>1219</v>
      </c>
      <c r="D2345" s="140"/>
      <c r="E2345" s="11" t="s">
        <v>102</v>
      </c>
      <c r="F2345" s="12">
        <v>2</v>
      </c>
      <c r="G2345" s="12">
        <v>12.71</v>
      </c>
      <c r="H2345" s="12">
        <v>16.22</v>
      </c>
      <c r="I2345" s="13">
        <f t="shared" si="206"/>
        <v>25.42</v>
      </c>
      <c r="J2345" s="13">
        <f t="shared" si="207"/>
        <v>32.44</v>
      </c>
    </row>
    <row r="2346" spans="1:10" s="1" customFormat="1" ht="25.5" customHeight="1" x14ac:dyDescent="0.2">
      <c r="A2346" s="22" t="s">
        <v>308</v>
      </c>
      <c r="B2346" s="21">
        <v>45661</v>
      </c>
      <c r="C2346" s="139" t="s">
        <v>1220</v>
      </c>
      <c r="D2346" s="140"/>
      <c r="E2346" s="11" t="s">
        <v>102</v>
      </c>
      <c r="F2346" s="12">
        <v>5</v>
      </c>
      <c r="G2346" s="12">
        <v>150</v>
      </c>
      <c r="H2346" s="12">
        <v>191.39</v>
      </c>
      <c r="I2346" s="13">
        <f t="shared" si="206"/>
        <v>750</v>
      </c>
      <c r="J2346" s="13">
        <f t="shared" si="207"/>
        <v>956.94999999999993</v>
      </c>
    </row>
    <row r="2347" spans="1:10" s="1" customFormat="1" ht="25.5" customHeight="1" x14ac:dyDescent="0.2">
      <c r="A2347" s="22" t="s">
        <v>308</v>
      </c>
      <c r="B2347" s="21">
        <v>45662</v>
      </c>
      <c r="C2347" s="139" t="s">
        <v>1221</v>
      </c>
      <c r="D2347" s="140"/>
      <c r="E2347" s="11" t="s">
        <v>102</v>
      </c>
      <c r="F2347" s="12">
        <v>38</v>
      </c>
      <c r="G2347" s="12">
        <v>59.9</v>
      </c>
      <c r="H2347" s="12">
        <v>76.430000000000007</v>
      </c>
      <c r="I2347" s="13">
        <f t="shared" si="206"/>
        <v>2276.1999999999998</v>
      </c>
      <c r="J2347" s="13">
        <f t="shared" si="207"/>
        <v>2904.34</v>
      </c>
    </row>
    <row r="2348" spans="1:10" s="1" customFormat="1" ht="25.5" customHeight="1" x14ac:dyDescent="0.2">
      <c r="A2348" s="22" t="s">
        <v>308</v>
      </c>
      <c r="B2348" s="21">
        <v>45663</v>
      </c>
      <c r="C2348" s="139" t="s">
        <v>1222</v>
      </c>
      <c r="D2348" s="140"/>
      <c r="E2348" s="11" t="s">
        <v>102</v>
      </c>
      <c r="F2348" s="12">
        <v>2</v>
      </c>
      <c r="G2348" s="12">
        <v>219</v>
      </c>
      <c r="H2348" s="12">
        <v>279.42</v>
      </c>
      <c r="I2348" s="13">
        <f t="shared" si="206"/>
        <v>438</v>
      </c>
      <c r="J2348" s="13">
        <f t="shared" si="207"/>
        <v>558.84</v>
      </c>
    </row>
    <row r="2349" spans="1:10" s="1" customFormat="1" ht="25.5" customHeight="1" x14ac:dyDescent="0.2">
      <c r="A2349" s="22" t="s">
        <v>308</v>
      </c>
      <c r="B2349" s="21">
        <v>45664</v>
      </c>
      <c r="C2349" s="139" t="s">
        <v>1223</v>
      </c>
      <c r="D2349" s="140"/>
      <c r="E2349" s="11" t="s">
        <v>102</v>
      </c>
      <c r="F2349" s="12">
        <v>9</v>
      </c>
      <c r="G2349" s="12">
        <v>19.3</v>
      </c>
      <c r="H2349" s="12">
        <v>24.62</v>
      </c>
      <c r="I2349" s="13">
        <f t="shared" si="206"/>
        <v>173.70000000000002</v>
      </c>
      <c r="J2349" s="13">
        <f t="shared" si="207"/>
        <v>221.58</v>
      </c>
    </row>
    <row r="2350" spans="1:10" s="1" customFormat="1" ht="25.5" customHeight="1" x14ac:dyDescent="0.2">
      <c r="A2350" s="22" t="s">
        <v>308</v>
      </c>
      <c r="B2350" s="21">
        <v>45665</v>
      </c>
      <c r="C2350" s="139" t="s">
        <v>1224</v>
      </c>
      <c r="D2350" s="140"/>
      <c r="E2350" s="11" t="s">
        <v>102</v>
      </c>
      <c r="F2350" s="12">
        <v>8</v>
      </c>
      <c r="G2350" s="12">
        <v>19.3</v>
      </c>
      <c r="H2350" s="12">
        <v>24.62</v>
      </c>
      <c r="I2350" s="13">
        <f t="shared" si="206"/>
        <v>154.4</v>
      </c>
      <c r="J2350" s="13">
        <f t="shared" si="207"/>
        <v>196.96</v>
      </c>
    </row>
    <row r="2351" spans="1:10" s="1" customFormat="1" ht="25.5" customHeight="1" x14ac:dyDescent="0.2">
      <c r="A2351" s="22" t="s">
        <v>308</v>
      </c>
      <c r="B2351" s="21">
        <v>45666</v>
      </c>
      <c r="C2351" s="139" t="s">
        <v>1225</v>
      </c>
      <c r="D2351" s="140"/>
      <c r="E2351" s="11" t="s">
        <v>102</v>
      </c>
      <c r="F2351" s="12">
        <v>8</v>
      </c>
      <c r="G2351" s="12">
        <v>9.9</v>
      </c>
      <c r="H2351" s="12">
        <v>12.63</v>
      </c>
      <c r="I2351" s="13">
        <f t="shared" si="206"/>
        <v>79.2</v>
      </c>
      <c r="J2351" s="13">
        <f t="shared" si="207"/>
        <v>101.04</v>
      </c>
    </row>
    <row r="2352" spans="1:10" s="1" customFormat="1" ht="25.5" customHeight="1" x14ac:dyDescent="0.2">
      <c r="A2352" s="22" t="s">
        <v>308</v>
      </c>
      <c r="B2352" s="34">
        <v>40203</v>
      </c>
      <c r="C2352" s="139" t="s">
        <v>1226</v>
      </c>
      <c r="D2352" s="140"/>
      <c r="E2352" s="11" t="s">
        <v>102</v>
      </c>
      <c r="F2352" s="12">
        <v>1</v>
      </c>
      <c r="G2352" s="12">
        <v>11.57</v>
      </c>
      <c r="H2352" s="12">
        <v>14.76</v>
      </c>
      <c r="I2352" s="13">
        <f t="shared" si="206"/>
        <v>11.57</v>
      </c>
      <c r="J2352" s="13">
        <f t="shared" si="207"/>
        <v>14.76</v>
      </c>
    </row>
    <row r="2353" spans="1:10" s="1" customFormat="1" ht="25.5" customHeight="1" x14ac:dyDescent="0.2">
      <c r="A2353" s="19">
        <v>38061</v>
      </c>
      <c r="B2353" s="34">
        <v>40568</v>
      </c>
      <c r="C2353" s="139" t="s">
        <v>1227</v>
      </c>
      <c r="D2353" s="140"/>
      <c r="E2353" s="11" t="s">
        <v>102</v>
      </c>
      <c r="F2353" s="12">
        <v>1</v>
      </c>
      <c r="G2353" s="12">
        <v>39.15</v>
      </c>
      <c r="H2353" s="12">
        <v>49.95</v>
      </c>
      <c r="I2353" s="13">
        <f t="shared" si="206"/>
        <v>39.15</v>
      </c>
      <c r="J2353" s="13">
        <f t="shared" si="207"/>
        <v>49.95</v>
      </c>
    </row>
    <row r="2354" spans="1:10" s="1" customFormat="1" ht="25.5" customHeight="1" x14ac:dyDescent="0.2">
      <c r="A2354" s="19">
        <v>38061</v>
      </c>
      <c r="B2354" s="34">
        <v>40933</v>
      </c>
      <c r="C2354" s="139" t="s">
        <v>1228</v>
      </c>
      <c r="D2354" s="140"/>
      <c r="E2354" s="11" t="s">
        <v>102</v>
      </c>
      <c r="F2354" s="12">
        <v>1</v>
      </c>
      <c r="G2354" s="12">
        <v>39.15</v>
      </c>
      <c r="H2354" s="12">
        <v>49.95</v>
      </c>
      <c r="I2354" s="13">
        <f t="shared" si="206"/>
        <v>39.15</v>
      </c>
      <c r="J2354" s="13">
        <f t="shared" si="207"/>
        <v>49.95</v>
      </c>
    </row>
    <row r="2355" spans="1:10" s="1" customFormat="1" ht="25.5" customHeight="1" x14ac:dyDescent="0.2">
      <c r="A2355" s="19">
        <v>38061</v>
      </c>
      <c r="B2355" s="34">
        <v>41299</v>
      </c>
      <c r="C2355" s="139" t="s">
        <v>1229</v>
      </c>
      <c r="D2355" s="140"/>
      <c r="E2355" s="11" t="s">
        <v>102</v>
      </c>
      <c r="F2355" s="12">
        <v>8</v>
      </c>
      <c r="G2355" s="12">
        <v>39.15</v>
      </c>
      <c r="H2355" s="12">
        <v>49.95</v>
      </c>
      <c r="I2355" s="13">
        <f t="shared" si="206"/>
        <v>313.2</v>
      </c>
      <c r="J2355" s="13">
        <f t="shared" si="207"/>
        <v>399.6</v>
      </c>
    </row>
    <row r="2356" spans="1:10" s="1" customFormat="1" ht="25.5" customHeight="1" x14ac:dyDescent="0.2">
      <c r="A2356" s="8"/>
      <c r="B2356" s="149" t="s">
        <v>1230</v>
      </c>
      <c r="C2356" s="150"/>
      <c r="D2356" s="150"/>
      <c r="E2356" s="150"/>
      <c r="F2356" s="150"/>
      <c r="G2356" s="151"/>
      <c r="H2356" s="8"/>
      <c r="I2356" s="14">
        <f>SUM(I2343:I2355)-0.02</f>
        <v>5143.569999999997</v>
      </c>
      <c r="J2356" s="15">
        <f>SUM(J2343:J2355)-0.3</f>
        <v>6562.43</v>
      </c>
    </row>
    <row r="2357" spans="1:10" s="1" customFormat="1" ht="25.5" customHeight="1" x14ac:dyDescent="0.2">
      <c r="A2357" s="8"/>
      <c r="B2357" s="153"/>
      <c r="C2357" s="157"/>
      <c r="D2357" s="157"/>
      <c r="E2357" s="157"/>
      <c r="F2357" s="157"/>
      <c r="G2357" s="157"/>
      <c r="H2357" s="157"/>
      <c r="I2357" s="154"/>
      <c r="J2357" s="8"/>
    </row>
    <row r="2358" spans="1:10" s="1" customFormat="1" ht="25.5" customHeight="1" x14ac:dyDescent="0.2">
      <c r="A2358" s="8"/>
      <c r="B2358" s="9" t="s">
        <v>1231</v>
      </c>
      <c r="C2358" s="137" t="s">
        <v>1232</v>
      </c>
      <c r="D2358" s="138"/>
      <c r="E2358" s="8"/>
      <c r="F2358" s="8"/>
      <c r="G2358" s="8"/>
      <c r="H2358" s="8"/>
      <c r="I2358" s="8"/>
      <c r="J2358" s="8"/>
    </row>
    <row r="2359" spans="1:10" s="1" customFormat="1" ht="25.5" customHeight="1" x14ac:dyDescent="0.2">
      <c r="A2359" s="19">
        <v>9537</v>
      </c>
      <c r="B2359" s="11" t="s">
        <v>1233</v>
      </c>
      <c r="C2359" s="139" t="s">
        <v>1234</v>
      </c>
      <c r="D2359" s="140"/>
      <c r="E2359" s="11" t="s">
        <v>14</v>
      </c>
      <c r="F2359" s="13">
        <v>1118.48</v>
      </c>
      <c r="G2359" s="12">
        <v>1.89</v>
      </c>
      <c r="H2359" s="12">
        <v>2.41</v>
      </c>
      <c r="I2359" s="13">
        <f>F2359*G2359</f>
        <v>2113.9272000000001</v>
      </c>
      <c r="J2359" s="13">
        <f>F2359*H2359</f>
        <v>2695.5368000000003</v>
      </c>
    </row>
    <row r="2360" spans="1:10" s="1" customFormat="1" ht="25.5" customHeight="1" x14ac:dyDescent="0.2">
      <c r="A2360" s="8"/>
      <c r="B2360" s="149" t="s">
        <v>1235</v>
      </c>
      <c r="C2360" s="150"/>
      <c r="D2360" s="150"/>
      <c r="E2360" s="150"/>
      <c r="F2360" s="150"/>
      <c r="G2360" s="151"/>
      <c r="H2360" s="8"/>
      <c r="I2360" s="14">
        <f>SUM(I2359)</f>
        <v>2113.9272000000001</v>
      </c>
      <c r="J2360" s="15">
        <f>SUM(J2359)+1.5</f>
        <v>2697.0368000000003</v>
      </c>
    </row>
    <row r="2361" spans="1:10" s="1" customFormat="1" ht="25.5" customHeight="1" x14ac:dyDescent="0.2">
      <c r="A2361" s="8"/>
      <c r="B2361" s="153"/>
      <c r="C2361" s="157"/>
      <c r="D2361" s="157"/>
      <c r="E2361" s="157"/>
      <c r="F2361" s="157"/>
      <c r="G2361" s="157"/>
      <c r="H2361" s="157"/>
      <c r="I2361" s="154"/>
      <c r="J2361" s="8"/>
    </row>
    <row r="2362" spans="1:10" s="1" customFormat="1" ht="25.5" customHeight="1" x14ac:dyDescent="0.2">
      <c r="A2362" s="8"/>
      <c r="B2362" s="9" t="s">
        <v>1236</v>
      </c>
      <c r="C2362" s="137" t="s">
        <v>1237</v>
      </c>
      <c r="D2362" s="138"/>
      <c r="E2362" s="8"/>
      <c r="F2362" s="8"/>
      <c r="G2362" s="8"/>
      <c r="H2362" s="8"/>
      <c r="I2362" s="8"/>
      <c r="J2362" s="8"/>
    </row>
    <row r="2363" spans="1:10" s="1" customFormat="1" ht="25.5" customHeight="1" x14ac:dyDescent="0.2">
      <c r="A2363" s="8"/>
      <c r="B2363" s="9" t="s">
        <v>1238</v>
      </c>
      <c r="C2363" s="137" t="s">
        <v>1239</v>
      </c>
      <c r="D2363" s="138"/>
      <c r="E2363" s="8"/>
      <c r="F2363" s="8"/>
      <c r="G2363" s="8"/>
      <c r="H2363" s="8"/>
      <c r="I2363" s="8"/>
      <c r="J2363" s="8"/>
    </row>
    <row r="2364" spans="1:10" s="1" customFormat="1" ht="25.5" customHeight="1" x14ac:dyDescent="0.2">
      <c r="A2364" s="19">
        <v>96523</v>
      </c>
      <c r="B2364" s="21">
        <v>46388</v>
      </c>
      <c r="C2364" s="139" t="s">
        <v>1240</v>
      </c>
      <c r="D2364" s="140"/>
      <c r="E2364" s="11" t="s">
        <v>14</v>
      </c>
      <c r="F2364" s="12">
        <v>43.47</v>
      </c>
      <c r="G2364" s="12">
        <v>59.37</v>
      </c>
      <c r="H2364" s="12">
        <v>75.75</v>
      </c>
      <c r="I2364" s="13">
        <f t="shared" ref="I2364:I2376" si="208">F2364*G2364</f>
        <v>2580.8138999999996</v>
      </c>
      <c r="J2364" s="13">
        <f t="shared" ref="J2364:J2376" si="209">F2364*H2364</f>
        <v>3292.8525</v>
      </c>
    </row>
    <row r="2365" spans="1:10" s="1" customFormat="1" ht="25.5" customHeight="1" x14ac:dyDescent="0.2">
      <c r="A2365" s="19">
        <v>96616</v>
      </c>
      <c r="B2365" s="21">
        <v>46389</v>
      </c>
      <c r="C2365" s="139" t="s">
        <v>1241</v>
      </c>
      <c r="D2365" s="140"/>
      <c r="E2365" s="16" t="s">
        <v>171</v>
      </c>
      <c r="F2365" s="12">
        <v>2.0699999999999998</v>
      </c>
      <c r="G2365" s="12">
        <v>395.1</v>
      </c>
      <c r="H2365" s="12">
        <v>504.11</v>
      </c>
      <c r="I2365" s="13">
        <f t="shared" si="208"/>
        <v>817.85699999999997</v>
      </c>
      <c r="J2365" s="13">
        <f t="shared" si="209"/>
        <v>1043.5076999999999</v>
      </c>
    </row>
    <row r="2366" spans="1:10" s="1" customFormat="1" ht="25.5" customHeight="1" x14ac:dyDescent="0.2">
      <c r="A2366" s="19">
        <v>95592</v>
      </c>
      <c r="B2366" s="21">
        <v>46390</v>
      </c>
      <c r="C2366" s="139" t="s">
        <v>1242</v>
      </c>
      <c r="D2366" s="140"/>
      <c r="E2366" s="11" t="s">
        <v>35</v>
      </c>
      <c r="F2366" s="13">
        <v>1051.68</v>
      </c>
      <c r="G2366" s="12">
        <v>12.22</v>
      </c>
      <c r="H2366" s="12">
        <v>15.59</v>
      </c>
      <c r="I2366" s="13">
        <f t="shared" si="208"/>
        <v>12851.529600000002</v>
      </c>
      <c r="J2366" s="13">
        <f t="shared" si="209"/>
        <v>16395.691200000001</v>
      </c>
    </row>
    <row r="2367" spans="1:10" s="1" customFormat="1" ht="25.5" customHeight="1" x14ac:dyDescent="0.2">
      <c r="A2367" s="19">
        <v>95585</v>
      </c>
      <c r="B2367" s="21">
        <v>46391</v>
      </c>
      <c r="C2367" s="139" t="s">
        <v>1243</v>
      </c>
      <c r="D2367" s="140"/>
      <c r="E2367" s="11" t="s">
        <v>35</v>
      </c>
      <c r="F2367" s="12">
        <v>1956.11</v>
      </c>
      <c r="G2367" s="12">
        <v>7.67</v>
      </c>
      <c r="H2367" s="12">
        <v>9.7799999999999994</v>
      </c>
      <c r="I2367" s="13">
        <f t="shared" si="208"/>
        <v>15003.3637</v>
      </c>
      <c r="J2367" s="13">
        <f t="shared" si="209"/>
        <v>19130.755799999999</v>
      </c>
    </row>
    <row r="2368" spans="1:10" s="1" customFormat="1" ht="25.5" customHeight="1" x14ac:dyDescent="0.2">
      <c r="A2368" s="19">
        <v>94965</v>
      </c>
      <c r="B2368" s="21">
        <v>46392</v>
      </c>
      <c r="C2368" s="139" t="s">
        <v>1244</v>
      </c>
      <c r="D2368" s="140"/>
      <c r="E2368" s="16" t="s">
        <v>171</v>
      </c>
      <c r="F2368" s="12">
        <v>26.73</v>
      </c>
      <c r="G2368" s="12">
        <v>302.64</v>
      </c>
      <c r="H2368" s="12">
        <v>386.14</v>
      </c>
      <c r="I2368" s="13">
        <f t="shared" si="208"/>
        <v>8089.5671999999995</v>
      </c>
      <c r="J2368" s="13">
        <f t="shared" si="209"/>
        <v>10321.522199999999</v>
      </c>
    </row>
    <row r="2369" spans="1:10" s="1" customFormat="1" ht="25.5" customHeight="1" x14ac:dyDescent="0.2">
      <c r="A2369" s="19">
        <v>92873</v>
      </c>
      <c r="B2369" s="21">
        <v>46393</v>
      </c>
      <c r="C2369" s="139" t="s">
        <v>1245</v>
      </c>
      <c r="D2369" s="140"/>
      <c r="E2369" s="16" t="s">
        <v>171</v>
      </c>
      <c r="F2369" s="12">
        <v>26.73</v>
      </c>
      <c r="G2369" s="12">
        <v>135.94</v>
      </c>
      <c r="H2369" s="12">
        <v>173.44</v>
      </c>
      <c r="I2369" s="13">
        <f t="shared" si="208"/>
        <v>3633.6761999999999</v>
      </c>
      <c r="J2369" s="13">
        <f t="shared" si="209"/>
        <v>4636.0511999999999</v>
      </c>
    </row>
    <row r="2370" spans="1:10" s="1" customFormat="1" ht="25.5" customHeight="1" x14ac:dyDescent="0.2">
      <c r="A2370" s="19">
        <v>96995</v>
      </c>
      <c r="B2370" s="21">
        <v>46394</v>
      </c>
      <c r="C2370" s="139" t="s">
        <v>1246</v>
      </c>
      <c r="D2370" s="140"/>
      <c r="E2370" s="16" t="s">
        <v>171</v>
      </c>
      <c r="F2370" s="39">
        <v>41.112499999999997</v>
      </c>
      <c r="G2370" s="12">
        <v>29.88</v>
      </c>
      <c r="H2370" s="12">
        <v>38.119999999999997</v>
      </c>
      <c r="I2370" s="13">
        <f t="shared" si="208"/>
        <v>1228.4414999999999</v>
      </c>
      <c r="J2370" s="13">
        <f t="shared" si="209"/>
        <v>1567.2084999999997</v>
      </c>
    </row>
    <row r="2371" spans="1:10" s="1" customFormat="1" ht="25.5" customHeight="1" x14ac:dyDescent="0.2">
      <c r="A2371" s="19">
        <v>68054</v>
      </c>
      <c r="B2371" s="21">
        <v>46395</v>
      </c>
      <c r="C2371" s="139" t="s">
        <v>1247</v>
      </c>
      <c r="D2371" s="140"/>
      <c r="E2371" s="11" t="s">
        <v>14</v>
      </c>
      <c r="F2371" s="40">
        <v>15.5</v>
      </c>
      <c r="G2371" s="12">
        <v>181.93</v>
      </c>
      <c r="H2371" s="12">
        <v>232.12</v>
      </c>
      <c r="I2371" s="13">
        <f t="shared" si="208"/>
        <v>2819.915</v>
      </c>
      <c r="J2371" s="13">
        <f t="shared" si="209"/>
        <v>3597.86</v>
      </c>
    </row>
    <row r="2372" spans="1:10" s="1" customFormat="1" ht="25.5" customHeight="1" x14ac:dyDescent="0.2">
      <c r="A2372" s="41">
        <v>87478</v>
      </c>
      <c r="B2372" s="30">
        <v>46396</v>
      </c>
      <c r="C2372" s="139" t="s">
        <v>1248</v>
      </c>
      <c r="D2372" s="140"/>
      <c r="E2372" s="31" t="s">
        <v>14</v>
      </c>
      <c r="F2372" s="32">
        <v>569.25</v>
      </c>
      <c r="G2372" s="32">
        <v>30.11</v>
      </c>
      <c r="H2372" s="32">
        <v>38.42</v>
      </c>
      <c r="I2372" s="13">
        <f t="shared" si="208"/>
        <v>17140.1175</v>
      </c>
      <c r="J2372" s="13">
        <f t="shared" si="209"/>
        <v>21870.585000000003</v>
      </c>
    </row>
    <row r="2373" spans="1:10" s="1" customFormat="1" ht="25.5" customHeight="1" x14ac:dyDescent="0.2">
      <c r="A2373" s="27" t="s">
        <v>1249</v>
      </c>
      <c r="B2373" s="34">
        <v>40205</v>
      </c>
      <c r="C2373" s="139" t="s">
        <v>1250</v>
      </c>
      <c r="D2373" s="140"/>
      <c r="E2373" s="11" t="s">
        <v>14</v>
      </c>
      <c r="F2373" s="12">
        <v>65.25</v>
      </c>
      <c r="G2373" s="12">
        <v>76.17</v>
      </c>
      <c r="H2373" s="12">
        <v>97.18</v>
      </c>
      <c r="I2373" s="13">
        <f t="shared" si="208"/>
        <v>4970.0924999999997</v>
      </c>
      <c r="J2373" s="13">
        <f t="shared" si="209"/>
        <v>6340.9950000000008</v>
      </c>
    </row>
    <row r="2374" spans="1:10" s="1" customFormat="1" ht="25.5" customHeight="1" x14ac:dyDescent="0.2">
      <c r="A2374" s="19">
        <v>87878</v>
      </c>
      <c r="B2374" s="34">
        <v>40570</v>
      </c>
      <c r="C2374" s="139" t="s">
        <v>1251</v>
      </c>
      <c r="D2374" s="140"/>
      <c r="E2374" s="11" t="s">
        <v>14</v>
      </c>
      <c r="F2374" s="40">
        <v>1138.5</v>
      </c>
      <c r="G2374" s="12">
        <v>2.97</v>
      </c>
      <c r="H2374" s="12">
        <v>3.79</v>
      </c>
      <c r="I2374" s="13">
        <f t="shared" si="208"/>
        <v>3381.3450000000003</v>
      </c>
      <c r="J2374" s="13">
        <f t="shared" si="209"/>
        <v>4314.915</v>
      </c>
    </row>
    <row r="2375" spans="1:10" s="1" customFormat="1" ht="25.5" customHeight="1" x14ac:dyDescent="0.2">
      <c r="A2375" s="27" t="s">
        <v>229</v>
      </c>
      <c r="B2375" s="34">
        <v>40935</v>
      </c>
      <c r="C2375" s="139" t="s">
        <v>1252</v>
      </c>
      <c r="D2375" s="140"/>
      <c r="E2375" s="11" t="s">
        <v>14</v>
      </c>
      <c r="F2375" s="40">
        <v>1138.5</v>
      </c>
      <c r="G2375" s="12">
        <v>21.63</v>
      </c>
      <c r="H2375" s="12">
        <v>27.59</v>
      </c>
      <c r="I2375" s="13">
        <f t="shared" si="208"/>
        <v>24625.754999999997</v>
      </c>
      <c r="J2375" s="13">
        <f t="shared" si="209"/>
        <v>31411.215</v>
      </c>
    </row>
    <row r="2376" spans="1:10" s="1" customFormat="1" ht="25.5" customHeight="1" x14ac:dyDescent="0.2">
      <c r="A2376" s="19">
        <v>88489</v>
      </c>
      <c r="B2376" s="34">
        <v>41301</v>
      </c>
      <c r="C2376" s="139" t="s">
        <v>1253</v>
      </c>
      <c r="D2376" s="140"/>
      <c r="E2376" s="11" t="s">
        <v>14</v>
      </c>
      <c r="F2376" s="42">
        <v>1269</v>
      </c>
      <c r="G2376" s="12">
        <v>8.41</v>
      </c>
      <c r="H2376" s="12">
        <v>10.73</v>
      </c>
      <c r="I2376" s="13">
        <f t="shared" si="208"/>
        <v>10672.29</v>
      </c>
      <c r="J2376" s="13">
        <f t="shared" si="209"/>
        <v>13616.37</v>
      </c>
    </row>
    <row r="2377" spans="1:10" s="1" customFormat="1" ht="25.5" customHeight="1" x14ac:dyDescent="0.2">
      <c r="A2377" s="8"/>
      <c r="B2377" s="149" t="s">
        <v>1260</v>
      </c>
      <c r="C2377" s="150"/>
      <c r="D2377" s="150"/>
      <c r="E2377" s="150"/>
      <c r="F2377" s="150"/>
      <c r="G2377" s="151"/>
      <c r="H2377" s="8"/>
      <c r="I2377" s="14">
        <f>SUM(I2364:I2376)-1</f>
        <v>107813.7641</v>
      </c>
      <c r="J2377" s="15">
        <f>SUM(J2364:J2376)+10.7</f>
        <v>137550.2291</v>
      </c>
    </row>
    <row r="2378" spans="1:10" s="1" customFormat="1" ht="25.5" customHeight="1" x14ac:dyDescent="0.2">
      <c r="A2378" s="35"/>
      <c r="B2378" s="149" t="s">
        <v>1261</v>
      </c>
      <c r="C2378" s="150"/>
      <c r="D2378" s="150"/>
      <c r="E2378" s="150"/>
      <c r="F2378" s="150"/>
      <c r="G2378" s="151"/>
      <c r="H2378" s="35"/>
      <c r="I2378" s="18">
        <f>SUM(I2360,I2356,I2340,I2302,I2279,I2206,I2045,I1970,I1951,I1924,I1898,I1893,I1837,I1771,I1748,I1733,I1727,I1718,I1701,I1695,I1687,I1683,I1643,I1632,I1610,I1598,I2377)-14.66</f>
        <v>1612522.0780999998</v>
      </c>
      <c r="J2378" s="18">
        <f>SUM(J2360,J2356,J2340,J2302,J2279,J2206,J2045,J1970,J1951,J1924,J1898,J1893,J1837,J1771,J1748,J1733,J1727,J1718,J1701,J1695,J1687,J1683,J1643,J1632,J1610,J1598,J2377)+12.9</f>
        <v>2057416.9126999998</v>
      </c>
    </row>
    <row r="2379" spans="1:10" x14ac:dyDescent="0.2">
      <c r="I2379" s="50"/>
    </row>
  </sheetData>
  <mergeCells count="2387">
    <mergeCell ref="B2377:G2377"/>
    <mergeCell ref="B2378:G2378"/>
    <mergeCell ref="C2372:D2372"/>
    <mergeCell ref="C2373:D2373"/>
    <mergeCell ref="C2374:D2374"/>
    <mergeCell ref="C2375:D2375"/>
    <mergeCell ref="C2376:D2376"/>
    <mergeCell ref="C2367:D2367"/>
    <mergeCell ref="C2368:D2368"/>
    <mergeCell ref="C2369:D2369"/>
    <mergeCell ref="C2370:D2370"/>
    <mergeCell ref="C2371:D2371"/>
    <mergeCell ref="C2362:D2362"/>
    <mergeCell ref="C2363:D2363"/>
    <mergeCell ref="C2364:D2364"/>
    <mergeCell ref="C2365:D2365"/>
    <mergeCell ref="C2366:D2366"/>
    <mergeCell ref="B2357:I2357"/>
    <mergeCell ref="C2358:D2358"/>
    <mergeCell ref="C2359:D2359"/>
    <mergeCell ref="B2360:G2360"/>
    <mergeCell ref="B2361:I2361"/>
    <mergeCell ref="C2352:D2352"/>
    <mergeCell ref="C2353:D2353"/>
    <mergeCell ref="C2354:D2354"/>
    <mergeCell ref="C2355:D2355"/>
    <mergeCell ref="B2356:G2356"/>
    <mergeCell ref="C2347:D2347"/>
    <mergeCell ref="C2348:D2348"/>
    <mergeCell ref="C2349:D2349"/>
    <mergeCell ref="C2350:D2350"/>
    <mergeCell ref="C2351:D2351"/>
    <mergeCell ref="C2342:I2342"/>
    <mergeCell ref="C2343:D2343"/>
    <mergeCell ref="C2344:D2344"/>
    <mergeCell ref="C2345:D2345"/>
    <mergeCell ref="C2346:D2346"/>
    <mergeCell ref="C2337:D2337"/>
    <mergeCell ref="C2338:D2338"/>
    <mergeCell ref="C2339:D2339"/>
    <mergeCell ref="B2340:G2340"/>
    <mergeCell ref="C2341:D2341"/>
    <mergeCell ref="C2332:D2332"/>
    <mergeCell ref="C2333:D2333"/>
    <mergeCell ref="C2334:D2334"/>
    <mergeCell ref="C2335:D2335"/>
    <mergeCell ref="C2336:D2336"/>
    <mergeCell ref="C2327:D2327"/>
    <mergeCell ref="C2328:D2328"/>
    <mergeCell ref="C2329:D2329"/>
    <mergeCell ref="C2330:D2330"/>
    <mergeCell ref="C2331:D2331"/>
    <mergeCell ref="C2322:D2322"/>
    <mergeCell ref="C2323:D2323"/>
    <mergeCell ref="C2324:D2324"/>
    <mergeCell ref="C2325:D2325"/>
    <mergeCell ref="C2326:D2326"/>
    <mergeCell ref="C2317:D2317"/>
    <mergeCell ref="C2318:D2318"/>
    <mergeCell ref="C2319:D2319"/>
    <mergeCell ref="C2320:D2320"/>
    <mergeCell ref="C2321:D2321"/>
    <mergeCell ref="C2312:D2312"/>
    <mergeCell ref="C2313:D2313"/>
    <mergeCell ref="C2314:D2314"/>
    <mergeCell ref="C2315:D2315"/>
    <mergeCell ref="C2316:D2316"/>
    <mergeCell ref="C2307:D2307"/>
    <mergeCell ref="C2308:D2308"/>
    <mergeCell ref="C2309:D2309"/>
    <mergeCell ref="C2310:D2310"/>
    <mergeCell ref="C2311:D2311"/>
    <mergeCell ref="B2302:G2302"/>
    <mergeCell ref="C2303:D2303"/>
    <mergeCell ref="C2304:I2304"/>
    <mergeCell ref="C2305:I2305"/>
    <mergeCell ref="C2306:D2306"/>
    <mergeCell ref="C2297:D2297"/>
    <mergeCell ref="C2298:D2298"/>
    <mergeCell ref="C2299:D2299"/>
    <mergeCell ref="C2300:D2300"/>
    <mergeCell ref="B2301:G2301"/>
    <mergeCell ref="C2292:D2292"/>
    <mergeCell ref="C2293:D2293"/>
    <mergeCell ref="C2294:D2294"/>
    <mergeCell ref="C2295:D2295"/>
    <mergeCell ref="C2296:D2296"/>
    <mergeCell ref="C2287:D2287"/>
    <mergeCell ref="C2288:D2288"/>
    <mergeCell ref="C2289:D2289"/>
    <mergeCell ref="C2290:D2290"/>
    <mergeCell ref="C2291:D2291"/>
    <mergeCell ref="C2282:D2282"/>
    <mergeCell ref="C2283:D2283"/>
    <mergeCell ref="C2284:D2284"/>
    <mergeCell ref="B2285:G2285"/>
    <mergeCell ref="C2286:D2286"/>
    <mergeCell ref="C2277:D2277"/>
    <mergeCell ref="C2278:D2278"/>
    <mergeCell ref="B2279:G2279"/>
    <mergeCell ref="C2280:D2280"/>
    <mergeCell ref="C2281:D2281"/>
    <mergeCell ref="C2272:D2272"/>
    <mergeCell ref="C2273:D2273"/>
    <mergeCell ref="C2274:D2274"/>
    <mergeCell ref="C2275:D2275"/>
    <mergeCell ref="C2276:D2276"/>
    <mergeCell ref="C2267:D2267"/>
    <mergeCell ref="C2268:D2268"/>
    <mergeCell ref="C2269:D2269"/>
    <mergeCell ref="C2270:D2270"/>
    <mergeCell ref="C2271:D2271"/>
    <mergeCell ref="C2262:D2262"/>
    <mergeCell ref="C2263:D2263"/>
    <mergeCell ref="C2264:D2264"/>
    <mergeCell ref="C2265:D2265"/>
    <mergeCell ref="C2266:D2266"/>
    <mergeCell ref="C2257:D2257"/>
    <mergeCell ref="C2258:D2258"/>
    <mergeCell ref="C2259:D2259"/>
    <mergeCell ref="C2260:D2260"/>
    <mergeCell ref="C2261:D2261"/>
    <mergeCell ref="C2252:D2252"/>
    <mergeCell ref="C2253:I2253"/>
    <mergeCell ref="C2254:D2254"/>
    <mergeCell ref="C2255:D2255"/>
    <mergeCell ref="C2256:D2256"/>
    <mergeCell ref="C2247:D2247"/>
    <mergeCell ref="C2248:D2248"/>
    <mergeCell ref="C2249:D2249"/>
    <mergeCell ref="C2250:D2250"/>
    <mergeCell ref="C2251:D2251"/>
    <mergeCell ref="C2242:D2242"/>
    <mergeCell ref="C2243:D2243"/>
    <mergeCell ref="C2244:D2244"/>
    <mergeCell ref="C2245:D2245"/>
    <mergeCell ref="C2246:D2246"/>
    <mergeCell ref="C2237:D2237"/>
    <mergeCell ref="C2238:D2238"/>
    <mergeCell ref="C2239:D2239"/>
    <mergeCell ref="C2240:D2240"/>
    <mergeCell ref="C2241:D2241"/>
    <mergeCell ref="C2232:D2232"/>
    <mergeCell ref="C2233:D2233"/>
    <mergeCell ref="C2234:D2234"/>
    <mergeCell ref="C2235:D2235"/>
    <mergeCell ref="C2236:D2236"/>
    <mergeCell ref="C2227:D2227"/>
    <mergeCell ref="C2228:D2228"/>
    <mergeCell ref="C2229:D2229"/>
    <mergeCell ref="C2230:D2230"/>
    <mergeCell ref="C2231:D2231"/>
    <mergeCell ref="C2222:D2222"/>
    <mergeCell ref="C2223:D2223"/>
    <mergeCell ref="C2224:D2224"/>
    <mergeCell ref="C2225:D2225"/>
    <mergeCell ref="C2226:D2226"/>
    <mergeCell ref="C2217:D2217"/>
    <mergeCell ref="C2218:D2218"/>
    <mergeCell ref="C2219:D2219"/>
    <mergeCell ref="C2220:D2220"/>
    <mergeCell ref="C2221:D2221"/>
    <mergeCell ref="C2212:D2212"/>
    <mergeCell ref="C2213:D2213"/>
    <mergeCell ref="C2214:D2214"/>
    <mergeCell ref="C2215:D2215"/>
    <mergeCell ref="C2216:D2216"/>
    <mergeCell ref="C2207:D2207"/>
    <mergeCell ref="C2208:D2208"/>
    <mergeCell ref="C2209:D2209"/>
    <mergeCell ref="C2210:D2210"/>
    <mergeCell ref="C2211:D2211"/>
    <mergeCell ref="C2202:D2202"/>
    <mergeCell ref="C2203:D2203"/>
    <mergeCell ref="C2204:D2204"/>
    <mergeCell ref="B2205:G2205"/>
    <mergeCell ref="B2206:G2206"/>
    <mergeCell ref="C2197:D2197"/>
    <mergeCell ref="C2198:D2198"/>
    <mergeCell ref="C2199:D2199"/>
    <mergeCell ref="C2200:D2200"/>
    <mergeCell ref="C2201:D2201"/>
    <mergeCell ref="C2192:D2192"/>
    <mergeCell ref="C2193:D2193"/>
    <mergeCell ref="C2194:D2194"/>
    <mergeCell ref="C2195:D2195"/>
    <mergeCell ref="C2196:D2196"/>
    <mergeCell ref="C2187:I2187"/>
    <mergeCell ref="C2188:I2188"/>
    <mergeCell ref="C2189:D2189"/>
    <mergeCell ref="C2190:D2190"/>
    <mergeCell ref="C2191:D2191"/>
    <mergeCell ref="C2182:D2182"/>
    <mergeCell ref="C2183:D2183"/>
    <mergeCell ref="C2184:D2184"/>
    <mergeCell ref="C2185:D2185"/>
    <mergeCell ref="B2186:G2186"/>
    <mergeCell ref="C2177:D2177"/>
    <mergeCell ref="B2178:G2178"/>
    <mergeCell ref="C2179:I2179"/>
    <mergeCell ref="C2180:D2180"/>
    <mergeCell ref="C2181:D2181"/>
    <mergeCell ref="C2172:D2172"/>
    <mergeCell ref="C2173:D2173"/>
    <mergeCell ref="C2174:D2174"/>
    <mergeCell ref="C2175:D2175"/>
    <mergeCell ref="C2176:D2176"/>
    <mergeCell ref="C2167:D2167"/>
    <mergeCell ref="C2168:D2168"/>
    <mergeCell ref="C2169:D2169"/>
    <mergeCell ref="B2170:G2170"/>
    <mergeCell ref="C2171:I2171"/>
    <mergeCell ref="C2162:D2162"/>
    <mergeCell ref="C2163:D2163"/>
    <mergeCell ref="C2164:D2164"/>
    <mergeCell ref="C2165:D2165"/>
    <mergeCell ref="C2166:D2166"/>
    <mergeCell ref="C2157:D2157"/>
    <mergeCell ref="C2158:D2158"/>
    <mergeCell ref="C2159:D2159"/>
    <mergeCell ref="C2160:D2160"/>
    <mergeCell ref="C2161:D2161"/>
    <mergeCell ref="C2152:D2152"/>
    <mergeCell ref="C2153:D2153"/>
    <mergeCell ref="C2154:D2154"/>
    <mergeCell ref="B2155:G2155"/>
    <mergeCell ref="C2156:D2156"/>
    <mergeCell ref="C2147:I2147"/>
    <mergeCell ref="C2148:D2148"/>
    <mergeCell ref="C2149:D2149"/>
    <mergeCell ref="C2150:D2150"/>
    <mergeCell ref="C2151:D2151"/>
    <mergeCell ref="C2142:D2142"/>
    <mergeCell ref="C2143:D2143"/>
    <mergeCell ref="C2144:D2144"/>
    <mergeCell ref="C2145:D2145"/>
    <mergeCell ref="B2146:G2146"/>
    <mergeCell ref="C2137:D2137"/>
    <mergeCell ref="C2138:D2138"/>
    <mergeCell ref="C2139:D2139"/>
    <mergeCell ref="C2140:D2140"/>
    <mergeCell ref="C2141:D2141"/>
    <mergeCell ref="C2132:D2132"/>
    <mergeCell ref="C2133:D2133"/>
    <mergeCell ref="C2134:D2134"/>
    <mergeCell ref="C2135:D2135"/>
    <mergeCell ref="C2136:D2136"/>
    <mergeCell ref="C2127:D2127"/>
    <mergeCell ref="B2128:G2128"/>
    <mergeCell ref="C2129:D2129"/>
    <mergeCell ref="C2130:D2130"/>
    <mergeCell ref="C2131:D2131"/>
    <mergeCell ref="C2122:D2122"/>
    <mergeCell ref="C2123:D2123"/>
    <mergeCell ref="C2124:D2124"/>
    <mergeCell ref="C2125:D2125"/>
    <mergeCell ref="C2126:D2126"/>
    <mergeCell ref="C2117:D2117"/>
    <mergeCell ref="C2118:D2118"/>
    <mergeCell ref="C2119:D2119"/>
    <mergeCell ref="C2120:D2120"/>
    <mergeCell ref="C2121:D2121"/>
    <mergeCell ref="C2112:D2112"/>
    <mergeCell ref="C2113:D2113"/>
    <mergeCell ref="B2114:G2114"/>
    <mergeCell ref="C2115:D2115"/>
    <mergeCell ref="C2116:D2116"/>
    <mergeCell ref="C2107:D2107"/>
    <mergeCell ref="C2108:D2108"/>
    <mergeCell ref="C2109:D2109"/>
    <mergeCell ref="C2110:D2110"/>
    <mergeCell ref="C2111:D2111"/>
    <mergeCell ref="C2102:D2102"/>
    <mergeCell ref="C2103:D2103"/>
    <mergeCell ref="C2104:D2104"/>
    <mergeCell ref="C2105:D2105"/>
    <mergeCell ref="C2106:D2106"/>
    <mergeCell ref="C2097:D2097"/>
    <mergeCell ref="C2098:D2098"/>
    <mergeCell ref="B2099:G2099"/>
    <mergeCell ref="C2100:D2100"/>
    <mergeCell ref="C2101:D2101"/>
    <mergeCell ref="C2092:D2092"/>
    <mergeCell ref="C2093:D2093"/>
    <mergeCell ref="C2094:D2094"/>
    <mergeCell ref="C2095:D2095"/>
    <mergeCell ref="C2096:D2096"/>
    <mergeCell ref="C2087:D2087"/>
    <mergeCell ref="C2088:D2088"/>
    <mergeCell ref="C2089:D2089"/>
    <mergeCell ref="C2090:D2090"/>
    <mergeCell ref="C2091:D2091"/>
    <mergeCell ref="C2082:D2082"/>
    <mergeCell ref="B2083:G2083"/>
    <mergeCell ref="C2084:D2084"/>
    <mergeCell ref="C2085:D2085"/>
    <mergeCell ref="C2086:D2086"/>
    <mergeCell ref="C2067:D2067"/>
    <mergeCell ref="C2068:D2068"/>
    <mergeCell ref="B2069:G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62:D2062"/>
    <mergeCell ref="C2063:D2063"/>
    <mergeCell ref="B2064:G2064"/>
    <mergeCell ref="C2065:D2065"/>
    <mergeCell ref="C2066:D2066"/>
    <mergeCell ref="C2057:D2057"/>
    <mergeCell ref="C2058:D2058"/>
    <mergeCell ref="C2059:D2059"/>
    <mergeCell ref="C2060:D2060"/>
    <mergeCell ref="C2061:D2061"/>
    <mergeCell ref="B2052:G2052"/>
    <mergeCell ref="C2053:D2053"/>
    <mergeCell ref="C2054:D2054"/>
    <mergeCell ref="C2055:D2055"/>
    <mergeCell ref="B2056:G2056"/>
    <mergeCell ref="C2047:D2047"/>
    <mergeCell ref="C2048:D2048"/>
    <mergeCell ref="C2049:D2049"/>
    <mergeCell ref="C2050:D2050"/>
    <mergeCell ref="C2051:D2051"/>
    <mergeCell ref="C2042:D2042"/>
    <mergeCell ref="C2043:D2043"/>
    <mergeCell ref="C2044:D2044"/>
    <mergeCell ref="B2045:G2045"/>
    <mergeCell ref="C2046:D2046"/>
    <mergeCell ref="C2037:D2037"/>
    <mergeCell ref="C2038:D2038"/>
    <mergeCell ref="C2039:D2039"/>
    <mergeCell ref="C2040:D2040"/>
    <mergeCell ref="C2041:D2041"/>
    <mergeCell ref="C2032:D2032"/>
    <mergeCell ref="C2033:D2033"/>
    <mergeCell ref="C2034:D2034"/>
    <mergeCell ref="C2035:D2035"/>
    <mergeCell ref="C2036:D2036"/>
    <mergeCell ref="C2027:D2027"/>
    <mergeCell ref="C2028:D2028"/>
    <mergeCell ref="C2029:D2029"/>
    <mergeCell ref="C2030:D2030"/>
    <mergeCell ref="C2031:D2031"/>
    <mergeCell ref="C2022:D2022"/>
    <mergeCell ref="C2023:D2023"/>
    <mergeCell ref="C2024:D2024"/>
    <mergeCell ref="C2025:D2025"/>
    <mergeCell ref="C2026:D2026"/>
    <mergeCell ref="C2017:D2017"/>
    <mergeCell ref="C2018:D2018"/>
    <mergeCell ref="C2019:D2019"/>
    <mergeCell ref="C2020:D2020"/>
    <mergeCell ref="C2021:D2021"/>
    <mergeCell ref="C2012:D2012"/>
    <mergeCell ref="C2013:D2013"/>
    <mergeCell ref="C2014:D2014"/>
    <mergeCell ref="C2015:D2015"/>
    <mergeCell ref="C2016:D2016"/>
    <mergeCell ref="C2007:D2007"/>
    <mergeCell ref="C2008:D2008"/>
    <mergeCell ref="C2009:D2009"/>
    <mergeCell ref="C2010:D2010"/>
    <mergeCell ref="C2011:D2011"/>
    <mergeCell ref="C2002:D2002"/>
    <mergeCell ref="C2003:D2003"/>
    <mergeCell ref="C2004:D2004"/>
    <mergeCell ref="C2005:D2005"/>
    <mergeCell ref="C2006:D2006"/>
    <mergeCell ref="C1997:D1997"/>
    <mergeCell ref="C1998:D1998"/>
    <mergeCell ref="C1999:D1999"/>
    <mergeCell ref="C2000:D2000"/>
    <mergeCell ref="C2001:D2001"/>
    <mergeCell ref="C1992:D1992"/>
    <mergeCell ref="C1993:D1993"/>
    <mergeCell ref="C1994:D1994"/>
    <mergeCell ref="C1995:D1995"/>
    <mergeCell ref="C1996:D1996"/>
    <mergeCell ref="C1987:D1987"/>
    <mergeCell ref="C1988:D1988"/>
    <mergeCell ref="C1989:D1989"/>
    <mergeCell ref="C1990:D1990"/>
    <mergeCell ref="C1991:D1991"/>
    <mergeCell ref="C1982:D1982"/>
    <mergeCell ref="C1983:D1983"/>
    <mergeCell ref="C1984:D1984"/>
    <mergeCell ref="C1985:D1985"/>
    <mergeCell ref="C1986:D1986"/>
    <mergeCell ref="C1977:D1977"/>
    <mergeCell ref="C1978:D1978"/>
    <mergeCell ref="C1979:D1979"/>
    <mergeCell ref="C1980:D1980"/>
    <mergeCell ref="C1981:D1981"/>
    <mergeCell ref="C1972:D1972"/>
    <mergeCell ref="C1973:D1973"/>
    <mergeCell ref="C1974:D1974"/>
    <mergeCell ref="C1975:D1975"/>
    <mergeCell ref="C1976:D1976"/>
    <mergeCell ref="C1967:D1967"/>
    <mergeCell ref="C1968:D1968"/>
    <mergeCell ref="C1969:D1969"/>
    <mergeCell ref="B1970:G1970"/>
    <mergeCell ref="C1971:D1971"/>
    <mergeCell ref="C1962:D1962"/>
    <mergeCell ref="C1963:D1963"/>
    <mergeCell ref="C1964:D1964"/>
    <mergeCell ref="C1965:D1965"/>
    <mergeCell ref="C1966:D1966"/>
    <mergeCell ref="C1957:D1957"/>
    <mergeCell ref="C1958:D1958"/>
    <mergeCell ref="C1959:D1959"/>
    <mergeCell ref="C1960:D1960"/>
    <mergeCell ref="C1961:D1961"/>
    <mergeCell ref="C1952:D1952"/>
    <mergeCell ref="C1953:D1953"/>
    <mergeCell ref="C1954:D1954"/>
    <mergeCell ref="C1955:D1955"/>
    <mergeCell ref="C1956:D1956"/>
    <mergeCell ref="C1947:D1947"/>
    <mergeCell ref="C1948:D1948"/>
    <mergeCell ref="C1949:D1949"/>
    <mergeCell ref="C1950:D1950"/>
    <mergeCell ref="B1951:G1951"/>
    <mergeCell ref="C1942:D1942"/>
    <mergeCell ref="C1943:D1943"/>
    <mergeCell ref="C1944:D1944"/>
    <mergeCell ref="C1945:D1945"/>
    <mergeCell ref="C1946:D1946"/>
    <mergeCell ref="C1937:D1937"/>
    <mergeCell ref="C1938:D1938"/>
    <mergeCell ref="C1939:D1939"/>
    <mergeCell ref="C1940:D1940"/>
    <mergeCell ref="C1941:D1941"/>
    <mergeCell ref="C1932:D1932"/>
    <mergeCell ref="C1933:D1933"/>
    <mergeCell ref="C1934:D1934"/>
    <mergeCell ref="C1935:D1935"/>
    <mergeCell ref="C1936:D1936"/>
    <mergeCell ref="C1927:D1927"/>
    <mergeCell ref="C1928:D1928"/>
    <mergeCell ref="C1929:D1929"/>
    <mergeCell ref="C1930:D1930"/>
    <mergeCell ref="C1931:D1931"/>
    <mergeCell ref="C1922:D1922"/>
    <mergeCell ref="C1923:D1923"/>
    <mergeCell ref="B1924:G1924"/>
    <mergeCell ref="C1925:D1925"/>
    <mergeCell ref="C1926:D1926"/>
    <mergeCell ref="C1917:D1917"/>
    <mergeCell ref="C1918:D1918"/>
    <mergeCell ref="C1919:D1919"/>
    <mergeCell ref="C1920:D1920"/>
    <mergeCell ref="C1921:D1921"/>
    <mergeCell ref="C1912:D1912"/>
    <mergeCell ref="C1913:D1913"/>
    <mergeCell ref="C1914:D1914"/>
    <mergeCell ref="C1915:D1915"/>
    <mergeCell ref="C1916:D1916"/>
    <mergeCell ref="C1907:D1907"/>
    <mergeCell ref="C1908:D1908"/>
    <mergeCell ref="C1909:D1909"/>
    <mergeCell ref="C1910:D1910"/>
    <mergeCell ref="C1911:D1911"/>
    <mergeCell ref="C1902:D1902"/>
    <mergeCell ref="C1903:D1903"/>
    <mergeCell ref="C1904:D1904"/>
    <mergeCell ref="C1905:D1905"/>
    <mergeCell ref="C1906:D1906"/>
    <mergeCell ref="C1897:D1897"/>
    <mergeCell ref="B1898:G1898"/>
    <mergeCell ref="C1899:D1899"/>
    <mergeCell ref="C1900:D1900"/>
    <mergeCell ref="C1901:D1901"/>
    <mergeCell ref="C1892:D1892"/>
    <mergeCell ref="B1893:G1893"/>
    <mergeCell ref="C1894:D1894"/>
    <mergeCell ref="C1895:D1895"/>
    <mergeCell ref="C1896:D1896"/>
    <mergeCell ref="C1887:D1887"/>
    <mergeCell ref="C1888:D1888"/>
    <mergeCell ref="C1889:D1889"/>
    <mergeCell ref="C1890:D1890"/>
    <mergeCell ref="C1891:D1891"/>
    <mergeCell ref="C1882:D1882"/>
    <mergeCell ref="C1883:D1883"/>
    <mergeCell ref="C1884:D1884"/>
    <mergeCell ref="C1885:D1885"/>
    <mergeCell ref="C1886:D1886"/>
    <mergeCell ref="C1877:D1877"/>
    <mergeCell ref="C1878:D1878"/>
    <mergeCell ref="C1879:D1879"/>
    <mergeCell ref="C1880:D1880"/>
    <mergeCell ref="C1881:D1881"/>
    <mergeCell ref="C1872:D1872"/>
    <mergeCell ref="C1873:D1873"/>
    <mergeCell ref="C1874:D1874"/>
    <mergeCell ref="C1875:D1875"/>
    <mergeCell ref="C1876:D1876"/>
    <mergeCell ref="C1867:D1867"/>
    <mergeCell ref="C1868:D1868"/>
    <mergeCell ref="C1869:D1869"/>
    <mergeCell ref="C1870:D1870"/>
    <mergeCell ref="C1871:D1871"/>
    <mergeCell ref="C1862:D1862"/>
    <mergeCell ref="C1863:D1863"/>
    <mergeCell ref="C1864:D1864"/>
    <mergeCell ref="C1865:D1865"/>
    <mergeCell ref="C1866:D1866"/>
    <mergeCell ref="C1857:D1857"/>
    <mergeCell ref="C1858:D1858"/>
    <mergeCell ref="C1859:D1859"/>
    <mergeCell ref="C1860:D1860"/>
    <mergeCell ref="C1861:D1861"/>
    <mergeCell ref="C1852:D1852"/>
    <mergeCell ref="C1853:D1853"/>
    <mergeCell ref="C1854:D1854"/>
    <mergeCell ref="C1855:D1855"/>
    <mergeCell ref="C1856:D1856"/>
    <mergeCell ref="C1847:D1847"/>
    <mergeCell ref="C1848:D1848"/>
    <mergeCell ref="C1849:D1849"/>
    <mergeCell ref="C1850:D1850"/>
    <mergeCell ref="C1851:D1851"/>
    <mergeCell ref="C1842:D1842"/>
    <mergeCell ref="C1843:D1843"/>
    <mergeCell ref="C1844:D1844"/>
    <mergeCell ref="C1845:D1845"/>
    <mergeCell ref="C1846:D1846"/>
    <mergeCell ref="B1837:G1837"/>
    <mergeCell ref="C1838:D1838"/>
    <mergeCell ref="C1839:D1839"/>
    <mergeCell ref="C1840:D1840"/>
    <mergeCell ref="C1841:D1841"/>
    <mergeCell ref="C1832:D1832"/>
    <mergeCell ref="C1833:D1833"/>
    <mergeCell ref="C1834:D1834"/>
    <mergeCell ref="C1835:D1835"/>
    <mergeCell ref="C1836:D1836"/>
    <mergeCell ref="C1827:D1827"/>
    <mergeCell ref="C1828:D1828"/>
    <mergeCell ref="C1829:D1829"/>
    <mergeCell ref="C1830:D1830"/>
    <mergeCell ref="C1831:D1831"/>
    <mergeCell ref="C1822:D1822"/>
    <mergeCell ref="C1823:D1823"/>
    <mergeCell ref="C1824:D1824"/>
    <mergeCell ref="C1825:D1825"/>
    <mergeCell ref="C1826:D1826"/>
    <mergeCell ref="C1817:D1817"/>
    <mergeCell ref="C1818:D1818"/>
    <mergeCell ref="C1819:D1819"/>
    <mergeCell ref="C1820:D1820"/>
    <mergeCell ref="C1821:D1821"/>
    <mergeCell ref="C1812:D1812"/>
    <mergeCell ref="C1813:D1813"/>
    <mergeCell ref="C1814:D1814"/>
    <mergeCell ref="C1815:D1815"/>
    <mergeCell ref="C1816:D1816"/>
    <mergeCell ref="C1807:D1807"/>
    <mergeCell ref="C1808:D1808"/>
    <mergeCell ref="C1809:D1809"/>
    <mergeCell ref="C1810:D1810"/>
    <mergeCell ref="C1811:D1811"/>
    <mergeCell ref="C1802:D1802"/>
    <mergeCell ref="C1803:D1803"/>
    <mergeCell ref="C1804:D1804"/>
    <mergeCell ref="C1805:D1805"/>
    <mergeCell ref="C1806:D1806"/>
    <mergeCell ref="C1797:D1797"/>
    <mergeCell ref="C1798:D1798"/>
    <mergeCell ref="C1799:D1799"/>
    <mergeCell ref="C1800:D1800"/>
    <mergeCell ref="C1801:D1801"/>
    <mergeCell ref="C1792:D1792"/>
    <mergeCell ref="C1793:D1793"/>
    <mergeCell ref="C1794:D1794"/>
    <mergeCell ref="C1795:D1795"/>
    <mergeCell ref="C1796:D1796"/>
    <mergeCell ref="C1787:D1787"/>
    <mergeCell ref="C1788:D1788"/>
    <mergeCell ref="C1789:D1789"/>
    <mergeCell ref="C1790:D1790"/>
    <mergeCell ref="C1791:D1791"/>
    <mergeCell ref="C1782:D1782"/>
    <mergeCell ref="C1783:D1783"/>
    <mergeCell ref="C1784:D1784"/>
    <mergeCell ref="C1785:D1785"/>
    <mergeCell ref="C1786:D1786"/>
    <mergeCell ref="C1777:D1777"/>
    <mergeCell ref="C1778:D1778"/>
    <mergeCell ref="C1779:D1779"/>
    <mergeCell ref="C1780:D1780"/>
    <mergeCell ref="C1781:D1781"/>
    <mergeCell ref="C1772:D1772"/>
    <mergeCell ref="C1773:D1773"/>
    <mergeCell ref="C1774:D1774"/>
    <mergeCell ref="C1775:D1775"/>
    <mergeCell ref="C1776:D1776"/>
    <mergeCell ref="C1767:D1767"/>
    <mergeCell ref="C1768:D1768"/>
    <mergeCell ref="C1769:D1769"/>
    <mergeCell ref="C1770:D1770"/>
    <mergeCell ref="B1771:G1771"/>
    <mergeCell ref="C1762:D1762"/>
    <mergeCell ref="C1763:D1763"/>
    <mergeCell ref="C1764:D1764"/>
    <mergeCell ref="C1765:D1765"/>
    <mergeCell ref="C1766:D1766"/>
    <mergeCell ref="C1757:D1757"/>
    <mergeCell ref="C1758:D1758"/>
    <mergeCell ref="C1759:D1759"/>
    <mergeCell ref="C1760:D1760"/>
    <mergeCell ref="C1761:D1761"/>
    <mergeCell ref="C1752:D1752"/>
    <mergeCell ref="C1753:D1753"/>
    <mergeCell ref="C1754:D1754"/>
    <mergeCell ref="C1755:D1755"/>
    <mergeCell ref="C1756:D1756"/>
    <mergeCell ref="C1747:D1747"/>
    <mergeCell ref="B1748:G1748"/>
    <mergeCell ref="C1749:I1749"/>
    <mergeCell ref="C1750:D1750"/>
    <mergeCell ref="C1751:D1751"/>
    <mergeCell ref="C1742:D1742"/>
    <mergeCell ref="C1743:D1743"/>
    <mergeCell ref="C1744:G1744"/>
    <mergeCell ref="C1745:D1745"/>
    <mergeCell ref="C1746:D1746"/>
    <mergeCell ref="C1737:D1737"/>
    <mergeCell ref="C1738:D1738"/>
    <mergeCell ref="C1739:G1739"/>
    <mergeCell ref="C1740:D1740"/>
    <mergeCell ref="C1741:G1741"/>
    <mergeCell ref="C1732:D1732"/>
    <mergeCell ref="B1733:G1733"/>
    <mergeCell ref="C1734:I1734"/>
    <mergeCell ref="C1735:D1735"/>
    <mergeCell ref="C1736:D1736"/>
    <mergeCell ref="B1727:G1727"/>
    <mergeCell ref="C1728:I1728"/>
    <mergeCell ref="C1729:D1729"/>
    <mergeCell ref="C1730:D1730"/>
    <mergeCell ref="C1731:D1731"/>
    <mergeCell ref="C1722:D1722"/>
    <mergeCell ref="C1723:D1723"/>
    <mergeCell ref="C1724:D1724"/>
    <mergeCell ref="C1725:D1725"/>
    <mergeCell ref="C1726:D1726"/>
    <mergeCell ref="B1717:G1717"/>
    <mergeCell ref="B1718:G1718"/>
    <mergeCell ref="C1719:I1719"/>
    <mergeCell ref="C1720:D1720"/>
    <mergeCell ref="C1721:D1721"/>
    <mergeCell ref="C1712:D1712"/>
    <mergeCell ref="C1713:D1713"/>
    <mergeCell ref="C1714:D1714"/>
    <mergeCell ref="C1715:D1715"/>
    <mergeCell ref="C1716:D1716"/>
    <mergeCell ref="C1707:D1707"/>
    <mergeCell ref="C1708:D1708"/>
    <mergeCell ref="C1709:D1709"/>
    <mergeCell ref="B1710:G1710"/>
    <mergeCell ref="C1711:I1711"/>
    <mergeCell ref="C1702:I1702"/>
    <mergeCell ref="C1703:I1703"/>
    <mergeCell ref="C1704:D1704"/>
    <mergeCell ref="C1705:D1705"/>
    <mergeCell ref="C1706:D1706"/>
    <mergeCell ref="C1697:D1697"/>
    <mergeCell ref="C1698:D1698"/>
    <mergeCell ref="C1699:D1699"/>
    <mergeCell ref="C1700:D1700"/>
    <mergeCell ref="B1701:G1701"/>
    <mergeCell ref="C1692:D1692"/>
    <mergeCell ref="C1693:D1693"/>
    <mergeCell ref="C1694:D1694"/>
    <mergeCell ref="B1695:G1695"/>
    <mergeCell ref="C1696:I1696"/>
    <mergeCell ref="B1687:G1687"/>
    <mergeCell ref="C1688:I1688"/>
    <mergeCell ref="C1689:D1689"/>
    <mergeCell ref="C1690:D1690"/>
    <mergeCell ref="C1691:D1691"/>
    <mergeCell ref="B1682:G1682"/>
    <mergeCell ref="C1683:G1683"/>
    <mergeCell ref="C1684:I1684"/>
    <mergeCell ref="C1685:D1685"/>
    <mergeCell ref="C1686:D1686"/>
    <mergeCell ref="C1677:D1677"/>
    <mergeCell ref="C1678:D1678"/>
    <mergeCell ref="C1679:D1679"/>
    <mergeCell ref="C1680:D1680"/>
    <mergeCell ref="C1681:D1681"/>
    <mergeCell ref="C795:D795"/>
    <mergeCell ref="C1673:D1673"/>
    <mergeCell ref="C1674:D1674"/>
    <mergeCell ref="C1675:D1675"/>
    <mergeCell ref="C1676:D1676"/>
    <mergeCell ref="A793:D793"/>
    <mergeCell ref="E793:J793"/>
    <mergeCell ref="A794:B794"/>
    <mergeCell ref="C794:D794"/>
    <mergeCell ref="F794:J794"/>
    <mergeCell ref="C1672:D1672"/>
    <mergeCell ref="A1589:D1589"/>
    <mergeCell ref="E1589:J1589"/>
    <mergeCell ref="A1590:B1590"/>
    <mergeCell ref="C1590:D1590"/>
    <mergeCell ref="F1590:J1590"/>
    <mergeCell ref="C1591:D1591"/>
    <mergeCell ref="C1667:D1667"/>
    <mergeCell ref="C1668:D1668"/>
    <mergeCell ref="C1669:D1669"/>
    <mergeCell ref="C1670:D1670"/>
    <mergeCell ref="C1671:D1671"/>
    <mergeCell ref="C1662:D1662"/>
    <mergeCell ref="C1663:D1663"/>
    <mergeCell ref="C1664:D1664"/>
    <mergeCell ref="C1665:D1665"/>
    <mergeCell ref="C1666:D1666"/>
    <mergeCell ref="C1657:D1657"/>
    <mergeCell ref="C1658:D1658"/>
    <mergeCell ref="C1659:D1659"/>
    <mergeCell ref="C1660:D1660"/>
    <mergeCell ref="C1661:D1661"/>
    <mergeCell ref="C1652:D1652"/>
    <mergeCell ref="B1653:G1653"/>
    <mergeCell ref="C1654:I1654"/>
    <mergeCell ref="C1655:D1655"/>
    <mergeCell ref="C1656:D1656"/>
    <mergeCell ref="C1647:D1647"/>
    <mergeCell ref="C1648:D1648"/>
    <mergeCell ref="C1649:D1649"/>
    <mergeCell ref="C1650:D1650"/>
    <mergeCell ref="C1651:D1651"/>
    <mergeCell ref="C1642:D1642"/>
    <mergeCell ref="B1643:G1643"/>
    <mergeCell ref="C1644:D1644"/>
    <mergeCell ref="C1645:D1645"/>
    <mergeCell ref="C1646:D1646"/>
    <mergeCell ref="C1637:D1637"/>
    <mergeCell ref="C1638:D1638"/>
    <mergeCell ref="C1639:D1639"/>
    <mergeCell ref="C1640:D1640"/>
    <mergeCell ref="C1641:D1641"/>
    <mergeCell ref="B1632:G1632"/>
    <mergeCell ref="C1633:D1633"/>
    <mergeCell ref="C1634:D1634"/>
    <mergeCell ref="C1635:D1635"/>
    <mergeCell ref="C1636:D1636"/>
    <mergeCell ref="C1627:D1627"/>
    <mergeCell ref="C1628:D1628"/>
    <mergeCell ref="C1629:D1629"/>
    <mergeCell ref="C1630:D1630"/>
    <mergeCell ref="C1631:D1631"/>
    <mergeCell ref="C1622:D1622"/>
    <mergeCell ref="C1623:D1623"/>
    <mergeCell ref="C1624:D1624"/>
    <mergeCell ref="C1625:D1625"/>
    <mergeCell ref="C1626:D1626"/>
    <mergeCell ref="C1617:D1617"/>
    <mergeCell ref="C1618:D1618"/>
    <mergeCell ref="C1619:D1619"/>
    <mergeCell ref="C1620:D1620"/>
    <mergeCell ref="C1621:D1621"/>
    <mergeCell ref="C1612:D1612"/>
    <mergeCell ref="C1613:D1613"/>
    <mergeCell ref="C1614:D1614"/>
    <mergeCell ref="C1615:D1615"/>
    <mergeCell ref="C1616:D1616"/>
    <mergeCell ref="C1607:D1607"/>
    <mergeCell ref="C1608:D1608"/>
    <mergeCell ref="C1609:D1609"/>
    <mergeCell ref="B1610:G1610"/>
    <mergeCell ref="C1611:D1611"/>
    <mergeCell ref="C1602:D1602"/>
    <mergeCell ref="C1603:D1603"/>
    <mergeCell ref="C1604:D1604"/>
    <mergeCell ref="C1605:D1605"/>
    <mergeCell ref="C1606:D1606"/>
    <mergeCell ref="C1597:D1597"/>
    <mergeCell ref="B1598:G1598"/>
    <mergeCell ref="C1599:D1599"/>
    <mergeCell ref="C1600:D1600"/>
    <mergeCell ref="C1601:D1601"/>
    <mergeCell ref="C1592:D1592"/>
    <mergeCell ref="C1593:D1593"/>
    <mergeCell ref="C1594:D1594"/>
    <mergeCell ref="C1595:D1595"/>
    <mergeCell ref="C1596:D1596"/>
    <mergeCell ref="C1584:D1584"/>
    <mergeCell ref="C1585:D1585"/>
    <mergeCell ref="C1586:D1586"/>
    <mergeCell ref="B1587:G1587"/>
    <mergeCell ref="B1588:G1588"/>
    <mergeCell ref="B1579:G1579"/>
    <mergeCell ref="C1580:D1580"/>
    <mergeCell ref="C1581:D1581"/>
    <mergeCell ref="C1582:D1582"/>
    <mergeCell ref="B1583:G1583"/>
    <mergeCell ref="C1574:D1574"/>
    <mergeCell ref="C1575:D1575"/>
    <mergeCell ref="C1576:D1576"/>
    <mergeCell ref="C1577:D1577"/>
    <mergeCell ref="C1578:D1578"/>
    <mergeCell ref="C1569:D1569"/>
    <mergeCell ref="C1570:D1570"/>
    <mergeCell ref="C1571:D1571"/>
    <mergeCell ref="C1572:D1572"/>
    <mergeCell ref="C1573:D1573"/>
    <mergeCell ref="C1564:D1564"/>
    <mergeCell ref="C1565:D1565"/>
    <mergeCell ref="C1566:D1566"/>
    <mergeCell ref="C1567:D1567"/>
    <mergeCell ref="C1568:D1568"/>
    <mergeCell ref="B1559:I1559"/>
    <mergeCell ref="C1560:D1560"/>
    <mergeCell ref="C1561:D1561"/>
    <mergeCell ref="B1562:G1562"/>
    <mergeCell ref="B1563:I1563"/>
    <mergeCell ref="C1554:D1554"/>
    <mergeCell ref="C1555:D1555"/>
    <mergeCell ref="C1556:D1556"/>
    <mergeCell ref="C1557:D1557"/>
    <mergeCell ref="B1558:G1558"/>
    <mergeCell ref="C1549:D1549"/>
    <mergeCell ref="C1550:D1550"/>
    <mergeCell ref="C1551:D1551"/>
    <mergeCell ref="C1552:D1552"/>
    <mergeCell ref="C1553:D1553"/>
    <mergeCell ref="C1544:I1544"/>
    <mergeCell ref="C1545:D1545"/>
    <mergeCell ref="C1546:D1546"/>
    <mergeCell ref="C1547:D1547"/>
    <mergeCell ref="C1548:D1548"/>
    <mergeCell ref="C1539:D1539"/>
    <mergeCell ref="C1540:D1540"/>
    <mergeCell ref="C1541:D1541"/>
    <mergeCell ref="B1542:G1542"/>
    <mergeCell ref="C1543:D1543"/>
    <mergeCell ref="C1534:D1534"/>
    <mergeCell ref="C1535:D1535"/>
    <mergeCell ref="C1536:D1536"/>
    <mergeCell ref="C1537:D1537"/>
    <mergeCell ref="C1538:D1538"/>
    <mergeCell ref="C1529:D1529"/>
    <mergeCell ref="C1530:D1530"/>
    <mergeCell ref="C1531:D1531"/>
    <mergeCell ref="C1532:D1532"/>
    <mergeCell ref="C1533:D1533"/>
    <mergeCell ref="C1524:D1524"/>
    <mergeCell ref="C1525:D1525"/>
    <mergeCell ref="C1526:D1526"/>
    <mergeCell ref="C1527:D1527"/>
    <mergeCell ref="C1528:D1528"/>
    <mergeCell ref="C1519:D1519"/>
    <mergeCell ref="C1520:D1520"/>
    <mergeCell ref="C1521:D1521"/>
    <mergeCell ref="C1522:D1522"/>
    <mergeCell ref="C1523:D1523"/>
    <mergeCell ref="C1514:D1514"/>
    <mergeCell ref="C1515:D1515"/>
    <mergeCell ref="C1516:D1516"/>
    <mergeCell ref="C1517:D1517"/>
    <mergeCell ref="C1518:D1518"/>
    <mergeCell ref="C1509:D1509"/>
    <mergeCell ref="C1510:D1510"/>
    <mergeCell ref="C1511:D1511"/>
    <mergeCell ref="C1512:D1512"/>
    <mergeCell ref="C1513:D1513"/>
    <mergeCell ref="B1504:G1504"/>
    <mergeCell ref="C1505:D1505"/>
    <mergeCell ref="C1506:I1506"/>
    <mergeCell ref="C1507:I1507"/>
    <mergeCell ref="C1508:D1508"/>
    <mergeCell ref="C1499:D1499"/>
    <mergeCell ref="C1500:D1500"/>
    <mergeCell ref="C1501:D1501"/>
    <mergeCell ref="C1502:D1502"/>
    <mergeCell ref="B1503:G1503"/>
    <mergeCell ref="C1494:D1494"/>
    <mergeCell ref="C1495:D1495"/>
    <mergeCell ref="C1496:D1496"/>
    <mergeCell ref="C1497:D1497"/>
    <mergeCell ref="C1498:D1498"/>
    <mergeCell ref="C1489:D1489"/>
    <mergeCell ref="C1490:D1490"/>
    <mergeCell ref="C1491:D1491"/>
    <mergeCell ref="C1492:D1492"/>
    <mergeCell ref="C1493:D1493"/>
    <mergeCell ref="C1484:D1484"/>
    <mergeCell ref="C1485:D1485"/>
    <mergeCell ref="C1486:D1486"/>
    <mergeCell ref="B1487:G1487"/>
    <mergeCell ref="C1488:D1488"/>
    <mergeCell ref="C1479:D1479"/>
    <mergeCell ref="C1480:D1480"/>
    <mergeCell ref="B1481:G1481"/>
    <mergeCell ref="C1482:D1482"/>
    <mergeCell ref="C1483:D1483"/>
    <mergeCell ref="C1474:D1474"/>
    <mergeCell ref="C1475:D1475"/>
    <mergeCell ref="C1476:D1476"/>
    <mergeCell ref="C1477:D1477"/>
    <mergeCell ref="C1478:D1478"/>
    <mergeCell ref="C1469:D1469"/>
    <mergeCell ref="C1470:D1470"/>
    <mergeCell ref="C1471:D1471"/>
    <mergeCell ref="C1472:D1472"/>
    <mergeCell ref="C1473:D1473"/>
    <mergeCell ref="C1464:D1464"/>
    <mergeCell ref="C1465:D1465"/>
    <mergeCell ref="C1466:D1466"/>
    <mergeCell ref="C1467:D1467"/>
    <mergeCell ref="C1468:D1468"/>
    <mergeCell ref="C1459:D1459"/>
    <mergeCell ref="C1460:D1460"/>
    <mergeCell ref="C1461:D1461"/>
    <mergeCell ref="C1462:D1462"/>
    <mergeCell ref="C1463:D1463"/>
    <mergeCell ref="C1454:D1454"/>
    <mergeCell ref="C1455:I1455"/>
    <mergeCell ref="C1456:D1456"/>
    <mergeCell ref="C1457:D1457"/>
    <mergeCell ref="C1458:D1458"/>
    <mergeCell ref="C1449:D1449"/>
    <mergeCell ref="C1450:D1450"/>
    <mergeCell ref="C1451:D1451"/>
    <mergeCell ref="C1452:D1452"/>
    <mergeCell ref="C1453:D1453"/>
    <mergeCell ref="C1444:D1444"/>
    <mergeCell ref="C1445:D1445"/>
    <mergeCell ref="C1446:D1446"/>
    <mergeCell ref="C1447:D1447"/>
    <mergeCell ref="C1448:D1448"/>
    <mergeCell ref="C1439:D1439"/>
    <mergeCell ref="C1440:D1440"/>
    <mergeCell ref="C1441:D1441"/>
    <mergeCell ref="C1442:D1442"/>
    <mergeCell ref="C1443:D1443"/>
    <mergeCell ref="C1434:D1434"/>
    <mergeCell ref="C1435:D1435"/>
    <mergeCell ref="C1436:D1436"/>
    <mergeCell ref="C1437:D1437"/>
    <mergeCell ref="C1438:D1438"/>
    <mergeCell ref="C1429:D1429"/>
    <mergeCell ref="C1430:D1430"/>
    <mergeCell ref="C1431:D1431"/>
    <mergeCell ref="C1432:D1432"/>
    <mergeCell ref="C1433:D1433"/>
    <mergeCell ref="C1424:D1424"/>
    <mergeCell ref="C1425:D1425"/>
    <mergeCell ref="C1426:D1426"/>
    <mergeCell ref="C1427:D1427"/>
    <mergeCell ref="C1428:D1428"/>
    <mergeCell ref="C1419:D1419"/>
    <mergeCell ref="C1420:D1420"/>
    <mergeCell ref="C1421:D1421"/>
    <mergeCell ref="C1422:D1422"/>
    <mergeCell ref="C1423:D1423"/>
    <mergeCell ref="C1414:D1414"/>
    <mergeCell ref="C1415:D1415"/>
    <mergeCell ref="C1416:D1416"/>
    <mergeCell ref="C1417:D1417"/>
    <mergeCell ref="C1418:D1418"/>
    <mergeCell ref="C1409:D1409"/>
    <mergeCell ref="C1410:D1410"/>
    <mergeCell ref="C1411:D1411"/>
    <mergeCell ref="C1412:D1412"/>
    <mergeCell ref="C1413:D1413"/>
    <mergeCell ref="C1404:D1404"/>
    <mergeCell ref="C1405:D1405"/>
    <mergeCell ref="C1406:D1406"/>
    <mergeCell ref="B1407:G1407"/>
    <mergeCell ref="B1408:G1408"/>
    <mergeCell ref="C1399:D1399"/>
    <mergeCell ref="C1400:D1400"/>
    <mergeCell ref="C1401:D1401"/>
    <mergeCell ref="C1402:D1402"/>
    <mergeCell ref="C1403:D1403"/>
    <mergeCell ref="C1394:D1394"/>
    <mergeCell ref="C1395:D1395"/>
    <mergeCell ref="C1396:D1396"/>
    <mergeCell ref="C1397:D1397"/>
    <mergeCell ref="C1398:D1398"/>
    <mergeCell ref="C1389:I1389"/>
    <mergeCell ref="C1390:I1390"/>
    <mergeCell ref="C1391:D1391"/>
    <mergeCell ref="C1392:D1392"/>
    <mergeCell ref="C1393:D1393"/>
    <mergeCell ref="C1384:D1384"/>
    <mergeCell ref="C1385:D1385"/>
    <mergeCell ref="C1386:D1386"/>
    <mergeCell ref="C1387:D1387"/>
    <mergeCell ref="B1388:G1388"/>
    <mergeCell ref="C1379:D1379"/>
    <mergeCell ref="B1380:G1380"/>
    <mergeCell ref="C1381:I1381"/>
    <mergeCell ref="C1382:D1382"/>
    <mergeCell ref="C1383:D1383"/>
    <mergeCell ref="C1374:D1374"/>
    <mergeCell ref="C1375:D1375"/>
    <mergeCell ref="C1376:D1376"/>
    <mergeCell ref="C1377:D1377"/>
    <mergeCell ref="C1378:D1378"/>
    <mergeCell ref="C1369:D1369"/>
    <mergeCell ref="C1370:D1370"/>
    <mergeCell ref="C1371:D1371"/>
    <mergeCell ref="B1372:G1372"/>
    <mergeCell ref="C1373:I1373"/>
    <mergeCell ref="C1364:D1364"/>
    <mergeCell ref="C1365:D1365"/>
    <mergeCell ref="C1366:D1366"/>
    <mergeCell ref="C1367:D1367"/>
    <mergeCell ref="C1368:D1368"/>
    <mergeCell ref="C1359:D1359"/>
    <mergeCell ref="C1360:D1360"/>
    <mergeCell ref="C1361:D1361"/>
    <mergeCell ref="C1362:D1362"/>
    <mergeCell ref="C1363:D1363"/>
    <mergeCell ref="C1354:D1354"/>
    <mergeCell ref="C1355:D1355"/>
    <mergeCell ref="C1356:D1356"/>
    <mergeCell ref="B1357:G1357"/>
    <mergeCell ref="C1358:D1358"/>
    <mergeCell ref="C1351:D1351"/>
    <mergeCell ref="C1352:D1352"/>
    <mergeCell ref="C1353:D1353"/>
    <mergeCell ref="C1272:D1272"/>
    <mergeCell ref="B1285:G1285"/>
    <mergeCell ref="C1286:D1286"/>
    <mergeCell ref="B1301:G1301"/>
    <mergeCell ref="C1302:D1302"/>
    <mergeCell ref="B1316:G1316"/>
    <mergeCell ref="C1317:D1317"/>
    <mergeCell ref="B1330:G1330"/>
    <mergeCell ref="C1331:D1331"/>
    <mergeCell ref="B1348:G1348"/>
    <mergeCell ref="C1349:I1349"/>
    <mergeCell ref="C1350:D1350"/>
    <mergeCell ref="C1346:D1346"/>
    <mergeCell ref="C1347:D1347"/>
    <mergeCell ref="C1341:D1341"/>
    <mergeCell ref="C1342:D1342"/>
    <mergeCell ref="C1343:D1343"/>
    <mergeCell ref="C1344:D1344"/>
    <mergeCell ref="C1345:D1345"/>
    <mergeCell ref="C1336:D1336"/>
    <mergeCell ref="C1337:D1337"/>
    <mergeCell ref="C1338:D1338"/>
    <mergeCell ref="C1339:D1339"/>
    <mergeCell ref="C1340:D1340"/>
    <mergeCell ref="C1332:D1332"/>
    <mergeCell ref="C1333:D1333"/>
    <mergeCell ref="C1334:D1334"/>
    <mergeCell ref="C1335:D1335"/>
    <mergeCell ref="C1326:D1326"/>
    <mergeCell ref="C1327:D1327"/>
    <mergeCell ref="C1328:D1328"/>
    <mergeCell ref="C1329:D1329"/>
    <mergeCell ref="C1321:D1321"/>
    <mergeCell ref="C1322:D1322"/>
    <mergeCell ref="C1323:D1323"/>
    <mergeCell ref="C1324:D1324"/>
    <mergeCell ref="C1325:D1325"/>
    <mergeCell ref="C1318:D1318"/>
    <mergeCell ref="C1319:D1319"/>
    <mergeCell ref="C1320:D1320"/>
    <mergeCell ref="C1311:D1311"/>
    <mergeCell ref="C1312:D1312"/>
    <mergeCell ref="C1313:D1313"/>
    <mergeCell ref="C1314:D1314"/>
    <mergeCell ref="C1315:D1315"/>
    <mergeCell ref="C1306:D1306"/>
    <mergeCell ref="C1307:D1307"/>
    <mergeCell ref="C1308:D1308"/>
    <mergeCell ref="C1309:D1309"/>
    <mergeCell ref="C1310:D1310"/>
    <mergeCell ref="C1303:D1303"/>
    <mergeCell ref="C1304:D1304"/>
    <mergeCell ref="C1305:D1305"/>
    <mergeCell ref="C1296:D1296"/>
    <mergeCell ref="C1297:D1297"/>
    <mergeCell ref="C1298:D1298"/>
    <mergeCell ref="C1299:D1299"/>
    <mergeCell ref="C1300:D1300"/>
    <mergeCell ref="C1291:D1291"/>
    <mergeCell ref="C1292:D1292"/>
    <mergeCell ref="C1293:D1293"/>
    <mergeCell ref="C1294:D1294"/>
    <mergeCell ref="C1295:D1295"/>
    <mergeCell ref="C1287:D1287"/>
    <mergeCell ref="C1288:D1288"/>
    <mergeCell ref="C1289:D1289"/>
    <mergeCell ref="C1290:D1290"/>
    <mergeCell ref="C1281:D1281"/>
    <mergeCell ref="C1282:D1282"/>
    <mergeCell ref="C1283:D1283"/>
    <mergeCell ref="C1284:D1284"/>
    <mergeCell ref="C1276:D1276"/>
    <mergeCell ref="C1277:D1277"/>
    <mergeCell ref="C1278:D1278"/>
    <mergeCell ref="C1279:D1279"/>
    <mergeCell ref="C1280:D1280"/>
    <mergeCell ref="B1271:G1271"/>
    <mergeCell ref="C1273:D1273"/>
    <mergeCell ref="C1274:D1274"/>
    <mergeCell ref="C1275:D1275"/>
    <mergeCell ref="B1266:G1266"/>
    <mergeCell ref="C1267:D1267"/>
    <mergeCell ref="C1268:D1268"/>
    <mergeCell ref="C1269:D1269"/>
    <mergeCell ref="C1270:D1270"/>
    <mergeCell ref="C1261:D1261"/>
    <mergeCell ref="C1262:D1262"/>
    <mergeCell ref="C1263:D1263"/>
    <mergeCell ref="C1264:D1264"/>
    <mergeCell ref="C1265:D1265"/>
    <mergeCell ref="C1256:D1256"/>
    <mergeCell ref="C1257:D1257"/>
    <mergeCell ref="B1258:G1258"/>
    <mergeCell ref="C1259:D1259"/>
    <mergeCell ref="C1260:D1260"/>
    <mergeCell ref="C1251:D1251"/>
    <mergeCell ref="C1252:D1252"/>
    <mergeCell ref="C1253:D1253"/>
    <mergeCell ref="B1254:G1254"/>
    <mergeCell ref="C1255:D1255"/>
    <mergeCell ref="C1246:D1246"/>
    <mergeCell ref="B1247:G1247"/>
    <mergeCell ref="C1248:D1248"/>
    <mergeCell ref="C1249:D1249"/>
    <mergeCell ref="C1250:D1250"/>
    <mergeCell ref="C1241:D1241"/>
    <mergeCell ref="C1242:D1242"/>
    <mergeCell ref="C1243:D1243"/>
    <mergeCell ref="C1244:D1244"/>
    <mergeCell ref="C1245:D1245"/>
    <mergeCell ref="C1236:D1236"/>
    <mergeCell ref="C1237:D1237"/>
    <mergeCell ref="C1238:D1238"/>
    <mergeCell ref="C1239:D1239"/>
    <mergeCell ref="C1240:D1240"/>
    <mergeCell ref="C1231:D1231"/>
    <mergeCell ref="C1232:D1232"/>
    <mergeCell ref="C1233:D1233"/>
    <mergeCell ref="C1234:D1234"/>
    <mergeCell ref="C1235:D1235"/>
    <mergeCell ref="C1226:D1226"/>
    <mergeCell ref="C1227:D1227"/>
    <mergeCell ref="C1228:D1228"/>
    <mergeCell ref="C1229:D1229"/>
    <mergeCell ref="C1230:D1230"/>
    <mergeCell ref="C1221:D1221"/>
    <mergeCell ref="C1222:D1222"/>
    <mergeCell ref="C1223:D1223"/>
    <mergeCell ref="C1224:D1224"/>
    <mergeCell ref="C1225:D1225"/>
    <mergeCell ref="C1216:D1216"/>
    <mergeCell ref="C1217:D1217"/>
    <mergeCell ref="C1218:D1218"/>
    <mergeCell ref="C1219:D1219"/>
    <mergeCell ref="C1220:D1220"/>
    <mergeCell ref="C1211:D1211"/>
    <mergeCell ref="C1212:D1212"/>
    <mergeCell ref="C1213:D1213"/>
    <mergeCell ref="C1214:D1214"/>
    <mergeCell ref="C1215:D1215"/>
    <mergeCell ref="C1206:D1206"/>
    <mergeCell ref="C1207:D1207"/>
    <mergeCell ref="C1208:D1208"/>
    <mergeCell ref="C1209:D1209"/>
    <mergeCell ref="C1210:D1210"/>
    <mergeCell ref="C1201:D1201"/>
    <mergeCell ref="C1202:D1202"/>
    <mergeCell ref="C1203:D1203"/>
    <mergeCell ref="C1204:D1204"/>
    <mergeCell ref="C1205:D1205"/>
    <mergeCell ref="C1196:D1196"/>
    <mergeCell ref="C1197:D1197"/>
    <mergeCell ref="C1198:D1198"/>
    <mergeCell ref="C1199:D1199"/>
    <mergeCell ref="C1200:D1200"/>
    <mergeCell ref="C1191:D1191"/>
    <mergeCell ref="C1192:D1192"/>
    <mergeCell ref="C1193:D1193"/>
    <mergeCell ref="C1194:D1194"/>
    <mergeCell ref="C1195:D1195"/>
    <mergeCell ref="C1186:D1186"/>
    <mergeCell ref="C1187:D1187"/>
    <mergeCell ref="C1188:D1188"/>
    <mergeCell ref="C1189:D1189"/>
    <mergeCell ref="C1190:D1190"/>
    <mergeCell ref="C1181:D1181"/>
    <mergeCell ref="C1182:D1182"/>
    <mergeCell ref="C1183:D1183"/>
    <mergeCell ref="C1184:D1184"/>
    <mergeCell ref="C1185:D1185"/>
    <mergeCell ref="C1176:D1176"/>
    <mergeCell ref="C1177:D1177"/>
    <mergeCell ref="C1178:D1178"/>
    <mergeCell ref="C1179:D1179"/>
    <mergeCell ref="C1180:D1180"/>
    <mergeCell ref="C1171:D1171"/>
    <mergeCell ref="B1172:G1172"/>
    <mergeCell ref="C1173:D1173"/>
    <mergeCell ref="C1174:D1174"/>
    <mergeCell ref="C1175:D1175"/>
    <mergeCell ref="C1166:D1166"/>
    <mergeCell ref="C1167:D1167"/>
    <mergeCell ref="C1168:D1168"/>
    <mergeCell ref="C1169:D1169"/>
    <mergeCell ref="C1170:D1170"/>
    <mergeCell ref="C1161:D1161"/>
    <mergeCell ref="C1162:D1162"/>
    <mergeCell ref="C1163:D1163"/>
    <mergeCell ref="C1164:D1164"/>
    <mergeCell ref="C1165:D1165"/>
    <mergeCell ref="C1156:D1156"/>
    <mergeCell ref="C1157:D1157"/>
    <mergeCell ref="C1158:D1158"/>
    <mergeCell ref="C1159:D1159"/>
    <mergeCell ref="C1160:D1160"/>
    <mergeCell ref="C1151:D1151"/>
    <mergeCell ref="C1152:D1152"/>
    <mergeCell ref="B1153:H1153"/>
    <mergeCell ref="C1154:D1154"/>
    <mergeCell ref="C1155:D1155"/>
    <mergeCell ref="C1146:D1146"/>
    <mergeCell ref="C1147:D1147"/>
    <mergeCell ref="C1148:D1148"/>
    <mergeCell ref="C1149:D1149"/>
    <mergeCell ref="C1150:D1150"/>
    <mergeCell ref="C1141:D1141"/>
    <mergeCell ref="C1142:D1142"/>
    <mergeCell ref="C1143:D1143"/>
    <mergeCell ref="C1144:D1144"/>
    <mergeCell ref="C1145:D1145"/>
    <mergeCell ref="C1136:D1136"/>
    <mergeCell ref="C1137:D1137"/>
    <mergeCell ref="C1138:D1138"/>
    <mergeCell ref="C1139:D1139"/>
    <mergeCell ref="C1140:D1140"/>
    <mergeCell ref="C1131:D1131"/>
    <mergeCell ref="C1132:D1132"/>
    <mergeCell ref="C1133:D1133"/>
    <mergeCell ref="C1134:D1134"/>
    <mergeCell ref="C1135:D1135"/>
    <mergeCell ref="B1126:G1126"/>
    <mergeCell ref="C1127:D1127"/>
    <mergeCell ref="C1128:D1128"/>
    <mergeCell ref="C1129:D1129"/>
    <mergeCell ref="C1130:D1130"/>
    <mergeCell ref="C1121:D1121"/>
    <mergeCell ref="C1122:D1122"/>
    <mergeCell ref="C1123:D1123"/>
    <mergeCell ref="C1124:D1124"/>
    <mergeCell ref="C1125:D1125"/>
    <mergeCell ref="C1116:D1116"/>
    <mergeCell ref="C1117:D1117"/>
    <mergeCell ref="C1118:D1118"/>
    <mergeCell ref="C1119:D1119"/>
    <mergeCell ref="C1120:D1120"/>
    <mergeCell ref="C1111:D1111"/>
    <mergeCell ref="C1112:D1112"/>
    <mergeCell ref="C1113:D1113"/>
    <mergeCell ref="C1114:D1114"/>
    <mergeCell ref="C1115:D1115"/>
    <mergeCell ref="C1106:D1106"/>
    <mergeCell ref="C1107:D1107"/>
    <mergeCell ref="C1108:D1108"/>
    <mergeCell ref="C1109:D1109"/>
    <mergeCell ref="C1110:D1110"/>
    <mergeCell ref="C1101:D1101"/>
    <mergeCell ref="C1102:D1102"/>
    <mergeCell ref="C1103:D1103"/>
    <mergeCell ref="C1104:D1104"/>
    <mergeCell ref="C1105:D1105"/>
    <mergeCell ref="C1096:D1096"/>
    <mergeCell ref="C1097:D1097"/>
    <mergeCell ref="C1098:D1098"/>
    <mergeCell ref="C1099:D1099"/>
    <mergeCell ref="B1100:G1100"/>
    <mergeCell ref="C1091:D1091"/>
    <mergeCell ref="C1092:D1092"/>
    <mergeCell ref="C1093:D1093"/>
    <mergeCell ref="C1094:D1094"/>
    <mergeCell ref="B1095:G1095"/>
    <mergeCell ref="C1086:D1086"/>
    <mergeCell ref="C1087:D1087"/>
    <mergeCell ref="C1088:D1088"/>
    <mergeCell ref="C1089:D1089"/>
    <mergeCell ref="C1090:D1090"/>
    <mergeCell ref="C1081:D1081"/>
    <mergeCell ref="C1082:D1082"/>
    <mergeCell ref="C1083:D1083"/>
    <mergeCell ref="C1084:D1084"/>
    <mergeCell ref="C1085:D1085"/>
    <mergeCell ref="C1076:D1076"/>
    <mergeCell ref="C1077:D1077"/>
    <mergeCell ref="C1078:D1078"/>
    <mergeCell ref="C1079:D1079"/>
    <mergeCell ref="C1080:D1080"/>
    <mergeCell ref="C1071:D1071"/>
    <mergeCell ref="C1072:D1072"/>
    <mergeCell ref="C1073:D1073"/>
    <mergeCell ref="C1074:D1074"/>
    <mergeCell ref="C1075:D1075"/>
    <mergeCell ref="C1066:D1066"/>
    <mergeCell ref="C1067:D1067"/>
    <mergeCell ref="C1068:D1068"/>
    <mergeCell ref="C1069:D1069"/>
    <mergeCell ref="C1070:D1070"/>
    <mergeCell ref="C1061:D1061"/>
    <mergeCell ref="C1062:D1062"/>
    <mergeCell ref="C1063:D1063"/>
    <mergeCell ref="C1064:D1064"/>
    <mergeCell ref="C1065:D1065"/>
    <mergeCell ref="C1056:D1056"/>
    <mergeCell ref="C1057:D1057"/>
    <mergeCell ref="C1058:D1058"/>
    <mergeCell ref="C1059:D1059"/>
    <mergeCell ref="C1060:D1060"/>
    <mergeCell ref="C1051:D1051"/>
    <mergeCell ref="C1052:D1052"/>
    <mergeCell ref="C1053:D1053"/>
    <mergeCell ref="C1054:D1054"/>
    <mergeCell ref="C1055:D1055"/>
    <mergeCell ref="C1046:D1046"/>
    <mergeCell ref="C1047:D1047"/>
    <mergeCell ref="C1048:D1048"/>
    <mergeCell ref="C1049:D1049"/>
    <mergeCell ref="C1050:D1050"/>
    <mergeCell ref="C1041:D1041"/>
    <mergeCell ref="C1042:D1042"/>
    <mergeCell ref="C1043:D1043"/>
    <mergeCell ref="C1044:D1044"/>
    <mergeCell ref="C1045:D1045"/>
    <mergeCell ref="C1036:D1036"/>
    <mergeCell ref="C1037:D1037"/>
    <mergeCell ref="C1038:D1038"/>
    <mergeCell ref="B1039:G1039"/>
    <mergeCell ref="C1040:D1040"/>
    <mergeCell ref="C1031:D1031"/>
    <mergeCell ref="C1032:D1032"/>
    <mergeCell ref="C1033:D1033"/>
    <mergeCell ref="C1034:D1034"/>
    <mergeCell ref="C1035:D1035"/>
    <mergeCell ref="C1026:D1026"/>
    <mergeCell ref="C1027:D1027"/>
    <mergeCell ref="C1028:D1028"/>
    <mergeCell ref="C1029:D1029"/>
    <mergeCell ref="C1030:D1030"/>
    <mergeCell ref="C1021:D1021"/>
    <mergeCell ref="C1022:D1022"/>
    <mergeCell ref="C1023:D1023"/>
    <mergeCell ref="C1024:D1024"/>
    <mergeCell ref="C1025:D1025"/>
    <mergeCell ref="C1016:D1016"/>
    <mergeCell ref="C1017:D1017"/>
    <mergeCell ref="C1018:D1018"/>
    <mergeCell ref="C1019:D1019"/>
    <mergeCell ref="C1020:D1020"/>
    <mergeCell ref="C1011:D1011"/>
    <mergeCell ref="C1012:D1012"/>
    <mergeCell ref="C1013:D1013"/>
    <mergeCell ref="C1014:D1014"/>
    <mergeCell ref="C1015:D1015"/>
    <mergeCell ref="C1006:D1006"/>
    <mergeCell ref="C1007:D1007"/>
    <mergeCell ref="C1008:D1008"/>
    <mergeCell ref="C1009:D1009"/>
    <mergeCell ref="C1010:D1010"/>
    <mergeCell ref="C1001:D1001"/>
    <mergeCell ref="C1002:D1002"/>
    <mergeCell ref="C1003:D1003"/>
    <mergeCell ref="C1004:D1004"/>
    <mergeCell ref="C1005:D1005"/>
    <mergeCell ref="C996:D996"/>
    <mergeCell ref="C997:D997"/>
    <mergeCell ref="C998:D998"/>
    <mergeCell ref="C999:D999"/>
    <mergeCell ref="C1000:D1000"/>
    <mergeCell ref="C991:D991"/>
    <mergeCell ref="C992:D992"/>
    <mergeCell ref="C993:D993"/>
    <mergeCell ref="C994:D994"/>
    <mergeCell ref="C995:D995"/>
    <mergeCell ref="C986:D986"/>
    <mergeCell ref="C987:D987"/>
    <mergeCell ref="C988:D988"/>
    <mergeCell ref="C989:D989"/>
    <mergeCell ref="C990:D990"/>
    <mergeCell ref="C981:D981"/>
    <mergeCell ref="C982:D982"/>
    <mergeCell ref="C983:D983"/>
    <mergeCell ref="C984:D984"/>
    <mergeCell ref="C985:D985"/>
    <mergeCell ref="C976:D976"/>
    <mergeCell ref="C977:D977"/>
    <mergeCell ref="C978:D978"/>
    <mergeCell ref="C979:D979"/>
    <mergeCell ref="C980:D980"/>
    <mergeCell ref="C971:D971"/>
    <mergeCell ref="C972:D972"/>
    <mergeCell ref="B973:H973"/>
    <mergeCell ref="C974:D974"/>
    <mergeCell ref="C975:D975"/>
    <mergeCell ref="C966:D966"/>
    <mergeCell ref="C967:D967"/>
    <mergeCell ref="C968:D968"/>
    <mergeCell ref="C969:D969"/>
    <mergeCell ref="C970:D970"/>
    <mergeCell ref="C961:D961"/>
    <mergeCell ref="C962:D962"/>
    <mergeCell ref="C963:D963"/>
    <mergeCell ref="C964:D964"/>
    <mergeCell ref="C965:D965"/>
    <mergeCell ref="C956:D956"/>
    <mergeCell ref="C957:D957"/>
    <mergeCell ref="C958:D958"/>
    <mergeCell ref="C959:D959"/>
    <mergeCell ref="C960:D960"/>
    <mergeCell ref="C951:I951"/>
    <mergeCell ref="C952:D952"/>
    <mergeCell ref="C953:D953"/>
    <mergeCell ref="C954:D954"/>
    <mergeCell ref="C955:D955"/>
    <mergeCell ref="C946:G946"/>
    <mergeCell ref="C947:D947"/>
    <mergeCell ref="C948:D948"/>
    <mergeCell ref="C949:D949"/>
    <mergeCell ref="B950:H950"/>
    <mergeCell ref="C941:G941"/>
    <mergeCell ref="C942:D942"/>
    <mergeCell ref="C943:G943"/>
    <mergeCell ref="C944:D944"/>
    <mergeCell ref="C945:D945"/>
    <mergeCell ref="C936:I936"/>
    <mergeCell ref="C937:D937"/>
    <mergeCell ref="C938:D938"/>
    <mergeCell ref="C939:D939"/>
    <mergeCell ref="C940:D940"/>
    <mergeCell ref="C931:D931"/>
    <mergeCell ref="C932:D932"/>
    <mergeCell ref="C933:D933"/>
    <mergeCell ref="C934:D934"/>
    <mergeCell ref="B935:G935"/>
    <mergeCell ref="C926:D926"/>
    <mergeCell ref="C927:D927"/>
    <mergeCell ref="C928:D928"/>
    <mergeCell ref="B929:G929"/>
    <mergeCell ref="C930:I930"/>
    <mergeCell ref="C921:I921"/>
    <mergeCell ref="C922:D922"/>
    <mergeCell ref="C923:D923"/>
    <mergeCell ref="C924:D924"/>
    <mergeCell ref="C925:D925"/>
    <mergeCell ref="C916:D916"/>
    <mergeCell ref="C917:D917"/>
    <mergeCell ref="C918:D918"/>
    <mergeCell ref="B919:G919"/>
    <mergeCell ref="B920:G920"/>
    <mergeCell ref="C911:D911"/>
    <mergeCell ref="B912:G912"/>
    <mergeCell ref="C913:I913"/>
    <mergeCell ref="C914:D914"/>
    <mergeCell ref="C915:D915"/>
    <mergeCell ref="C906:D906"/>
    <mergeCell ref="C907:D907"/>
    <mergeCell ref="C908:D908"/>
    <mergeCell ref="C909:D909"/>
    <mergeCell ref="C910:D910"/>
    <mergeCell ref="C901:D901"/>
    <mergeCell ref="C902:D902"/>
    <mergeCell ref="B903:G903"/>
    <mergeCell ref="C904:I904"/>
    <mergeCell ref="C905:I905"/>
    <mergeCell ref="C896:D896"/>
    <mergeCell ref="C897:D897"/>
    <mergeCell ref="B898:G898"/>
    <mergeCell ref="C899:I899"/>
    <mergeCell ref="C900:D900"/>
    <mergeCell ref="C891:I891"/>
    <mergeCell ref="C892:D892"/>
    <mergeCell ref="C893:D893"/>
    <mergeCell ref="C894:D894"/>
    <mergeCell ref="C895:D895"/>
    <mergeCell ref="C886:G886"/>
    <mergeCell ref="C887:I887"/>
    <mergeCell ref="C888:D888"/>
    <mergeCell ref="C889:D889"/>
    <mergeCell ref="B890:G890"/>
    <mergeCell ref="C881:D881"/>
    <mergeCell ref="C882:D882"/>
    <mergeCell ref="C883:D883"/>
    <mergeCell ref="C884:D884"/>
    <mergeCell ref="B885:G885"/>
    <mergeCell ref="C876:D876"/>
    <mergeCell ref="C877:D877"/>
    <mergeCell ref="C878:D878"/>
    <mergeCell ref="C879:D879"/>
    <mergeCell ref="C880:D880"/>
    <mergeCell ref="C871:D871"/>
    <mergeCell ref="C872:D872"/>
    <mergeCell ref="C873:D873"/>
    <mergeCell ref="C874:D874"/>
    <mergeCell ref="C875:D875"/>
    <mergeCell ref="C866:D866"/>
    <mergeCell ref="C867:D867"/>
    <mergeCell ref="C868:D868"/>
    <mergeCell ref="C869:D869"/>
    <mergeCell ref="C870:D870"/>
    <mergeCell ref="C861:D861"/>
    <mergeCell ref="C862:D862"/>
    <mergeCell ref="C863:D863"/>
    <mergeCell ref="C864:D864"/>
    <mergeCell ref="C865:D865"/>
    <mergeCell ref="B856:G856"/>
    <mergeCell ref="C857:I857"/>
    <mergeCell ref="C858:D858"/>
    <mergeCell ref="C859:D859"/>
    <mergeCell ref="C860:D860"/>
    <mergeCell ref="C851:D851"/>
    <mergeCell ref="C852:D852"/>
    <mergeCell ref="C853:D853"/>
    <mergeCell ref="C854:D854"/>
    <mergeCell ref="C855:D855"/>
    <mergeCell ref="B846:G846"/>
    <mergeCell ref="C847:D847"/>
    <mergeCell ref="C848:D848"/>
    <mergeCell ref="C849:D849"/>
    <mergeCell ref="C850:D850"/>
    <mergeCell ref="C841:D841"/>
    <mergeCell ref="C842:D842"/>
    <mergeCell ref="C843:D843"/>
    <mergeCell ref="C844:D844"/>
    <mergeCell ref="C845:D845"/>
    <mergeCell ref="B836:G836"/>
    <mergeCell ref="C837:D837"/>
    <mergeCell ref="C838:D838"/>
    <mergeCell ref="C839:D839"/>
    <mergeCell ref="C840:D840"/>
    <mergeCell ref="C831:D831"/>
    <mergeCell ref="C832:D832"/>
    <mergeCell ref="C833:D833"/>
    <mergeCell ref="C834:D834"/>
    <mergeCell ref="C835:D835"/>
    <mergeCell ref="C826:D826"/>
    <mergeCell ref="C827:D827"/>
    <mergeCell ref="C828:D828"/>
    <mergeCell ref="C829:D829"/>
    <mergeCell ref="C830:D830"/>
    <mergeCell ref="C821:D821"/>
    <mergeCell ref="C822:D822"/>
    <mergeCell ref="C823:D823"/>
    <mergeCell ref="C824:D824"/>
    <mergeCell ref="C825:D825"/>
    <mergeCell ref="C816:D816"/>
    <mergeCell ref="C817:D817"/>
    <mergeCell ref="C818:D818"/>
    <mergeCell ref="C819:D819"/>
    <mergeCell ref="C820:D820"/>
    <mergeCell ref="C811:D811"/>
    <mergeCell ref="C812:D812"/>
    <mergeCell ref="C813:D813"/>
    <mergeCell ref="B814:G814"/>
    <mergeCell ref="C815:D815"/>
    <mergeCell ref="C806:D806"/>
    <mergeCell ref="C807:D807"/>
    <mergeCell ref="C808:D808"/>
    <mergeCell ref="C809:D809"/>
    <mergeCell ref="C810:D810"/>
    <mergeCell ref="C801:D801"/>
    <mergeCell ref="B802:G802"/>
    <mergeCell ref="C803:D803"/>
    <mergeCell ref="C804:D804"/>
    <mergeCell ref="C805:D805"/>
    <mergeCell ref="C796:D796"/>
    <mergeCell ref="C797:D797"/>
    <mergeCell ref="C798:D798"/>
    <mergeCell ref="C799:D799"/>
    <mergeCell ref="C800:D800"/>
    <mergeCell ref="B788:G788"/>
    <mergeCell ref="C789:D789"/>
    <mergeCell ref="C790:D790"/>
    <mergeCell ref="B791:G791"/>
    <mergeCell ref="B792:G792"/>
    <mergeCell ref="C783:D783"/>
    <mergeCell ref="B784:G784"/>
    <mergeCell ref="C785:D785"/>
    <mergeCell ref="C786:D786"/>
    <mergeCell ref="C787:D787"/>
    <mergeCell ref="C778:D778"/>
    <mergeCell ref="C779:D779"/>
    <mergeCell ref="C780:D780"/>
    <mergeCell ref="C781:D781"/>
    <mergeCell ref="C782:D782"/>
    <mergeCell ref="C773:D773"/>
    <mergeCell ref="C774:D774"/>
    <mergeCell ref="C775:D775"/>
    <mergeCell ref="C776:D776"/>
    <mergeCell ref="C777:D777"/>
    <mergeCell ref="B768:I768"/>
    <mergeCell ref="C769:D769"/>
    <mergeCell ref="C770:D770"/>
    <mergeCell ref="C771:D771"/>
    <mergeCell ref="C772:D772"/>
    <mergeCell ref="B763:G763"/>
    <mergeCell ref="B764:I764"/>
    <mergeCell ref="C765:D765"/>
    <mergeCell ref="C766:D766"/>
    <mergeCell ref="B767:G767"/>
    <mergeCell ref="C758:D758"/>
    <mergeCell ref="C759:D759"/>
    <mergeCell ref="C760:D760"/>
    <mergeCell ref="C761:D761"/>
    <mergeCell ref="C762:D762"/>
    <mergeCell ref="C753:D753"/>
    <mergeCell ref="C754:D754"/>
    <mergeCell ref="C755:D755"/>
    <mergeCell ref="C756:D756"/>
    <mergeCell ref="C757:D757"/>
    <mergeCell ref="C748:D748"/>
    <mergeCell ref="C749:I749"/>
    <mergeCell ref="C750:D750"/>
    <mergeCell ref="C751:D751"/>
    <mergeCell ref="C752:D752"/>
    <mergeCell ref="C743:D743"/>
    <mergeCell ref="C744:D744"/>
    <mergeCell ref="C745:D745"/>
    <mergeCell ref="C746:D746"/>
    <mergeCell ref="B747:G747"/>
    <mergeCell ref="C738:D738"/>
    <mergeCell ref="C739:D739"/>
    <mergeCell ref="C740:D740"/>
    <mergeCell ref="C741:D741"/>
    <mergeCell ref="C742:D742"/>
    <mergeCell ref="C733:D733"/>
    <mergeCell ref="C734:D734"/>
    <mergeCell ref="C735:D735"/>
    <mergeCell ref="C736:D736"/>
    <mergeCell ref="C737:D737"/>
    <mergeCell ref="C728:D728"/>
    <mergeCell ref="C729:D729"/>
    <mergeCell ref="C730:D730"/>
    <mergeCell ref="C731:D731"/>
    <mergeCell ref="C732:D732"/>
    <mergeCell ref="C723:D723"/>
    <mergeCell ref="C724:D724"/>
    <mergeCell ref="C725:D725"/>
    <mergeCell ref="C726:D726"/>
    <mergeCell ref="C727:D727"/>
    <mergeCell ref="C718:D718"/>
    <mergeCell ref="C719:D719"/>
    <mergeCell ref="C720:D720"/>
    <mergeCell ref="C721:D721"/>
    <mergeCell ref="C722:D722"/>
    <mergeCell ref="C713:D713"/>
    <mergeCell ref="C714:D714"/>
    <mergeCell ref="C715:D715"/>
    <mergeCell ref="C716:D716"/>
    <mergeCell ref="C717:D717"/>
    <mergeCell ref="B708:G708"/>
    <mergeCell ref="B709:G709"/>
    <mergeCell ref="C710:D710"/>
    <mergeCell ref="C711:I711"/>
    <mergeCell ref="C712:I712"/>
    <mergeCell ref="C703:D703"/>
    <mergeCell ref="C704:D704"/>
    <mergeCell ref="C705:D705"/>
    <mergeCell ref="C706:D706"/>
    <mergeCell ref="C707:D707"/>
    <mergeCell ref="C698:D698"/>
    <mergeCell ref="C699:D699"/>
    <mergeCell ref="C700:D700"/>
    <mergeCell ref="C701:D701"/>
    <mergeCell ref="C702:D702"/>
    <mergeCell ref="C693:D693"/>
    <mergeCell ref="C694:D694"/>
    <mergeCell ref="C695:D695"/>
    <mergeCell ref="C696:D696"/>
    <mergeCell ref="C697:D697"/>
    <mergeCell ref="C688:D688"/>
    <mergeCell ref="C689:D689"/>
    <mergeCell ref="C690:D690"/>
    <mergeCell ref="C691:D691"/>
    <mergeCell ref="B692:G692"/>
    <mergeCell ref="C683:D683"/>
    <mergeCell ref="C684:D684"/>
    <mergeCell ref="C685:D685"/>
    <mergeCell ref="B686:G686"/>
    <mergeCell ref="C687:D687"/>
    <mergeCell ref="C678:D678"/>
    <mergeCell ref="C679:D679"/>
    <mergeCell ref="C680:D680"/>
    <mergeCell ref="C681:D681"/>
    <mergeCell ref="C682:D682"/>
    <mergeCell ref="C673:D673"/>
    <mergeCell ref="C674:D674"/>
    <mergeCell ref="C675:D675"/>
    <mergeCell ref="C676:D676"/>
    <mergeCell ref="C677:D677"/>
    <mergeCell ref="C668:D668"/>
    <mergeCell ref="C669:D669"/>
    <mergeCell ref="C670:D670"/>
    <mergeCell ref="C671:D671"/>
    <mergeCell ref="C672:D672"/>
    <mergeCell ref="C663:D663"/>
    <mergeCell ref="C664:D664"/>
    <mergeCell ref="C665:D665"/>
    <mergeCell ref="C666:D666"/>
    <mergeCell ref="C667:D667"/>
    <mergeCell ref="C658:D658"/>
    <mergeCell ref="C659:D659"/>
    <mergeCell ref="C660:I660"/>
    <mergeCell ref="C661:D661"/>
    <mergeCell ref="C662:D662"/>
    <mergeCell ref="C653:D653"/>
    <mergeCell ref="C654:D654"/>
    <mergeCell ref="C655:D655"/>
    <mergeCell ref="C656:D656"/>
    <mergeCell ref="C657:D657"/>
    <mergeCell ref="C648:D648"/>
    <mergeCell ref="C649:D649"/>
    <mergeCell ref="C650:D650"/>
    <mergeCell ref="C651:D651"/>
    <mergeCell ref="C652:D652"/>
    <mergeCell ref="C643:D643"/>
    <mergeCell ref="C644:D644"/>
    <mergeCell ref="C645:D645"/>
    <mergeCell ref="C646:D646"/>
    <mergeCell ref="C647:D647"/>
    <mergeCell ref="C638:D638"/>
    <mergeCell ref="C639:D639"/>
    <mergeCell ref="C640:D640"/>
    <mergeCell ref="C641:D641"/>
    <mergeCell ref="C642:D642"/>
    <mergeCell ref="C633:D633"/>
    <mergeCell ref="C634:D634"/>
    <mergeCell ref="C635:D635"/>
    <mergeCell ref="C636:D636"/>
    <mergeCell ref="C637:D637"/>
    <mergeCell ref="C628:D628"/>
    <mergeCell ref="C629:D629"/>
    <mergeCell ref="C630:D630"/>
    <mergeCell ref="C631:D631"/>
    <mergeCell ref="C632:D632"/>
    <mergeCell ref="C623:D623"/>
    <mergeCell ref="C624:D624"/>
    <mergeCell ref="C625:D625"/>
    <mergeCell ref="C626:D626"/>
    <mergeCell ref="C627:D627"/>
    <mergeCell ref="C618:D618"/>
    <mergeCell ref="C619:D619"/>
    <mergeCell ref="C620:D620"/>
    <mergeCell ref="C621:D621"/>
    <mergeCell ref="C622:D622"/>
    <mergeCell ref="B613:G613"/>
    <mergeCell ref="C614:D614"/>
    <mergeCell ref="C615:D615"/>
    <mergeCell ref="C616:D616"/>
    <mergeCell ref="C617:D617"/>
    <mergeCell ref="C608:D608"/>
    <mergeCell ref="C609:D609"/>
    <mergeCell ref="C610:D610"/>
    <mergeCell ref="C611:D611"/>
    <mergeCell ref="B612:G612"/>
    <mergeCell ref="C603:D603"/>
    <mergeCell ref="C604:D604"/>
    <mergeCell ref="C605:D605"/>
    <mergeCell ref="C606:D606"/>
    <mergeCell ref="C607:D607"/>
    <mergeCell ref="C598:D598"/>
    <mergeCell ref="C599:D599"/>
    <mergeCell ref="C600:D600"/>
    <mergeCell ref="C601:D601"/>
    <mergeCell ref="C602:D602"/>
    <mergeCell ref="B593:G593"/>
    <mergeCell ref="C594:I594"/>
    <mergeCell ref="C595:I595"/>
    <mergeCell ref="C596:D596"/>
    <mergeCell ref="C597:D597"/>
    <mergeCell ref="C588:D588"/>
    <mergeCell ref="C589:D589"/>
    <mergeCell ref="C590:D590"/>
    <mergeCell ref="C591:D591"/>
    <mergeCell ref="C592:D592"/>
    <mergeCell ref="C583:D583"/>
    <mergeCell ref="C584:D584"/>
    <mergeCell ref="B585:G585"/>
    <mergeCell ref="C586:I586"/>
    <mergeCell ref="C587:D587"/>
    <mergeCell ref="C578:I578"/>
    <mergeCell ref="C579:D579"/>
    <mergeCell ref="C580:D580"/>
    <mergeCell ref="C581:D581"/>
    <mergeCell ref="C582:D582"/>
    <mergeCell ref="C573:D573"/>
    <mergeCell ref="C574:D574"/>
    <mergeCell ref="C575:D575"/>
    <mergeCell ref="C576:D576"/>
    <mergeCell ref="B577:G577"/>
    <mergeCell ref="C568:D568"/>
    <mergeCell ref="C569:D569"/>
    <mergeCell ref="C570:D570"/>
    <mergeCell ref="C571:D571"/>
    <mergeCell ref="C572:D572"/>
    <mergeCell ref="C563:D563"/>
    <mergeCell ref="C564:D564"/>
    <mergeCell ref="C565:D565"/>
    <mergeCell ref="C566:D566"/>
    <mergeCell ref="C567:D567"/>
    <mergeCell ref="C558:D558"/>
    <mergeCell ref="C559:D559"/>
    <mergeCell ref="C560:D560"/>
    <mergeCell ref="C561:D561"/>
    <mergeCell ref="B562:G562"/>
    <mergeCell ref="B553:G553"/>
    <mergeCell ref="C554:I554"/>
    <mergeCell ref="C555:D555"/>
    <mergeCell ref="C556:D556"/>
    <mergeCell ref="C557:D557"/>
    <mergeCell ref="C548:D548"/>
    <mergeCell ref="C549:D549"/>
    <mergeCell ref="C550:D550"/>
    <mergeCell ref="C551:D551"/>
    <mergeCell ref="C552:D552"/>
    <mergeCell ref="C543:D543"/>
    <mergeCell ref="C544:D544"/>
    <mergeCell ref="C545:D545"/>
    <mergeCell ref="C546:D546"/>
    <mergeCell ref="C547:D547"/>
    <mergeCell ref="C538:D538"/>
    <mergeCell ref="C539:D539"/>
    <mergeCell ref="C540:D540"/>
    <mergeCell ref="C541:D541"/>
    <mergeCell ref="C542:D542"/>
    <mergeCell ref="C533:D533"/>
    <mergeCell ref="C534:D534"/>
    <mergeCell ref="B535:G535"/>
    <mergeCell ref="C536:D536"/>
    <mergeCell ref="C537:D537"/>
    <mergeCell ref="C528:D528"/>
    <mergeCell ref="C529:D529"/>
    <mergeCell ref="C530:D530"/>
    <mergeCell ref="C531:D531"/>
    <mergeCell ref="C532:D532"/>
    <mergeCell ref="C523:D523"/>
    <mergeCell ref="C524:D524"/>
    <mergeCell ref="C525:D525"/>
    <mergeCell ref="C526:D526"/>
    <mergeCell ref="C527:D527"/>
    <mergeCell ref="C518:D518"/>
    <mergeCell ref="C519:D519"/>
    <mergeCell ref="C520:D520"/>
    <mergeCell ref="B521:G521"/>
    <mergeCell ref="C522:D522"/>
    <mergeCell ref="C513:D513"/>
    <mergeCell ref="C514:D514"/>
    <mergeCell ref="C515:D515"/>
    <mergeCell ref="C516:D516"/>
    <mergeCell ref="C517:D517"/>
    <mergeCell ref="C508:D508"/>
    <mergeCell ref="C509:D509"/>
    <mergeCell ref="C510:D510"/>
    <mergeCell ref="C511:D511"/>
    <mergeCell ref="C512:D512"/>
    <mergeCell ref="C503:D503"/>
    <mergeCell ref="C504:D504"/>
    <mergeCell ref="C505:D505"/>
    <mergeCell ref="B506:G506"/>
    <mergeCell ref="C507:D507"/>
    <mergeCell ref="C498:D498"/>
    <mergeCell ref="C499:D499"/>
    <mergeCell ref="C500:D500"/>
    <mergeCell ref="C501:D501"/>
    <mergeCell ref="C502:D502"/>
    <mergeCell ref="C493:D493"/>
    <mergeCell ref="C494:D494"/>
    <mergeCell ref="C495:D495"/>
    <mergeCell ref="C496:D496"/>
    <mergeCell ref="C497:D497"/>
    <mergeCell ref="C488:D488"/>
    <mergeCell ref="C489:D489"/>
    <mergeCell ref="B490:G490"/>
    <mergeCell ref="C491:D491"/>
    <mergeCell ref="C492:D492"/>
    <mergeCell ref="C483:D483"/>
    <mergeCell ref="C484:D484"/>
    <mergeCell ref="C485:D485"/>
    <mergeCell ref="C486:D486"/>
    <mergeCell ref="C487:D487"/>
    <mergeCell ref="C478:D478"/>
    <mergeCell ref="C479:D479"/>
    <mergeCell ref="C480:D480"/>
    <mergeCell ref="C481:D481"/>
    <mergeCell ref="C482:D482"/>
    <mergeCell ref="C473:D473"/>
    <mergeCell ref="C474:D474"/>
    <mergeCell ref="B475:G475"/>
    <mergeCell ref="B476:I476"/>
    <mergeCell ref="C477:D477"/>
    <mergeCell ref="C468:D468"/>
    <mergeCell ref="C469:D469"/>
    <mergeCell ref="B470:G470"/>
    <mergeCell ref="C471:D471"/>
    <mergeCell ref="C472:D472"/>
    <mergeCell ref="C463:D463"/>
    <mergeCell ref="C464:D464"/>
    <mergeCell ref="C465:D465"/>
    <mergeCell ref="C466:D466"/>
    <mergeCell ref="C467:D467"/>
    <mergeCell ref="B458:G458"/>
    <mergeCell ref="C459:D459"/>
    <mergeCell ref="C460:D460"/>
    <mergeCell ref="C461:D461"/>
    <mergeCell ref="B462:G462"/>
    <mergeCell ref="C453:D453"/>
    <mergeCell ref="C454:D454"/>
    <mergeCell ref="C455:D455"/>
    <mergeCell ref="C456:D456"/>
    <mergeCell ref="C457:D457"/>
    <mergeCell ref="C448:D448"/>
    <mergeCell ref="C449:D449"/>
    <mergeCell ref="C450:D450"/>
    <mergeCell ref="B451:G451"/>
    <mergeCell ref="C452:D452"/>
    <mergeCell ref="C443:D443"/>
    <mergeCell ref="C444:D444"/>
    <mergeCell ref="C445:D445"/>
    <mergeCell ref="C446:D446"/>
    <mergeCell ref="C447:D447"/>
    <mergeCell ref="C438:D438"/>
    <mergeCell ref="C439:D439"/>
    <mergeCell ref="C440:D440"/>
    <mergeCell ref="C441:D441"/>
    <mergeCell ref="C442:D442"/>
    <mergeCell ref="C433:D433"/>
    <mergeCell ref="C434:D434"/>
    <mergeCell ref="C435:D435"/>
    <mergeCell ref="C436:D436"/>
    <mergeCell ref="C437:D437"/>
    <mergeCell ref="C428:D428"/>
    <mergeCell ref="C429:D429"/>
    <mergeCell ref="C430:D430"/>
    <mergeCell ref="C431:D431"/>
    <mergeCell ref="C432:D432"/>
    <mergeCell ref="C423:D423"/>
    <mergeCell ref="C424:D424"/>
    <mergeCell ref="C425:D425"/>
    <mergeCell ref="C426:D426"/>
    <mergeCell ref="C427:D427"/>
    <mergeCell ref="C418:D418"/>
    <mergeCell ref="C419:D419"/>
    <mergeCell ref="C420:D420"/>
    <mergeCell ref="C421:D421"/>
    <mergeCell ref="C422:D422"/>
    <mergeCell ref="C413:D413"/>
    <mergeCell ref="C414:D414"/>
    <mergeCell ref="C415:D415"/>
    <mergeCell ref="C416:D416"/>
    <mergeCell ref="C417:D417"/>
    <mergeCell ref="C408:D408"/>
    <mergeCell ref="C409:D409"/>
    <mergeCell ref="C410:D410"/>
    <mergeCell ref="C411:D411"/>
    <mergeCell ref="C412:D412"/>
    <mergeCell ref="C403:D403"/>
    <mergeCell ref="C404:D404"/>
    <mergeCell ref="C405:D405"/>
    <mergeCell ref="C406:D406"/>
    <mergeCell ref="C407:D407"/>
    <mergeCell ref="C398:D398"/>
    <mergeCell ref="C399:D399"/>
    <mergeCell ref="C400:D400"/>
    <mergeCell ref="C401:D401"/>
    <mergeCell ref="C402:D402"/>
    <mergeCell ref="C393:D393"/>
    <mergeCell ref="C394:D394"/>
    <mergeCell ref="C395:D395"/>
    <mergeCell ref="C396:D396"/>
    <mergeCell ref="C397:D397"/>
    <mergeCell ref="C388:D388"/>
    <mergeCell ref="C389:D389"/>
    <mergeCell ref="C390:D390"/>
    <mergeCell ref="C391:D391"/>
    <mergeCell ref="C392:D392"/>
    <mergeCell ref="C383:D383"/>
    <mergeCell ref="C384:D384"/>
    <mergeCell ref="C385:D385"/>
    <mergeCell ref="C386:D386"/>
    <mergeCell ref="C387:D387"/>
    <mergeCell ref="C378:D378"/>
    <mergeCell ref="C379:D379"/>
    <mergeCell ref="C380:D380"/>
    <mergeCell ref="C381:D381"/>
    <mergeCell ref="C382:D382"/>
    <mergeCell ref="C373:D373"/>
    <mergeCell ref="C374:D374"/>
    <mergeCell ref="C375:D375"/>
    <mergeCell ref="B376:G376"/>
    <mergeCell ref="C377:D377"/>
    <mergeCell ref="C368:D368"/>
    <mergeCell ref="C369:D369"/>
    <mergeCell ref="C370:D370"/>
    <mergeCell ref="C371:D371"/>
    <mergeCell ref="C372:D372"/>
    <mergeCell ref="C363:D363"/>
    <mergeCell ref="C364:D364"/>
    <mergeCell ref="C365:D365"/>
    <mergeCell ref="C366:D366"/>
    <mergeCell ref="C367:D367"/>
    <mergeCell ref="C358:D358"/>
    <mergeCell ref="C359:D359"/>
    <mergeCell ref="C360:D360"/>
    <mergeCell ref="C361:D361"/>
    <mergeCell ref="C362:D362"/>
    <mergeCell ref="C353:D353"/>
    <mergeCell ref="C354:D354"/>
    <mergeCell ref="C355:D355"/>
    <mergeCell ref="C356:D356"/>
    <mergeCell ref="B357:G357"/>
    <mergeCell ref="C348:D348"/>
    <mergeCell ref="C349:D349"/>
    <mergeCell ref="C350:D350"/>
    <mergeCell ref="C351:D351"/>
    <mergeCell ref="C352:D352"/>
    <mergeCell ref="C343:D343"/>
    <mergeCell ref="C344:D344"/>
    <mergeCell ref="C345:D345"/>
    <mergeCell ref="C346:D346"/>
    <mergeCell ref="C347:D347"/>
    <mergeCell ref="C338:D338"/>
    <mergeCell ref="C339:D339"/>
    <mergeCell ref="C340:D340"/>
    <mergeCell ref="C341:D341"/>
    <mergeCell ref="C342:D342"/>
    <mergeCell ref="C333:D333"/>
    <mergeCell ref="C334:D334"/>
    <mergeCell ref="C335:D335"/>
    <mergeCell ref="C336:D336"/>
    <mergeCell ref="C337:D337"/>
    <mergeCell ref="C328:D328"/>
    <mergeCell ref="C329:D329"/>
    <mergeCell ref="B330:G330"/>
    <mergeCell ref="C331:D331"/>
    <mergeCell ref="C332:D332"/>
    <mergeCell ref="C323:D323"/>
    <mergeCell ref="C324:D324"/>
    <mergeCell ref="C325:D325"/>
    <mergeCell ref="C326:D326"/>
    <mergeCell ref="C327:D327"/>
    <mergeCell ref="C318:D318"/>
    <mergeCell ref="C319:D319"/>
    <mergeCell ref="C320:D320"/>
    <mergeCell ref="C321:D321"/>
    <mergeCell ref="C322:D322"/>
    <mergeCell ref="C313:D313"/>
    <mergeCell ref="C314:D314"/>
    <mergeCell ref="C315:D315"/>
    <mergeCell ref="C316:D316"/>
    <mergeCell ref="C317:D317"/>
    <mergeCell ref="C308:D308"/>
    <mergeCell ref="C309:D309"/>
    <mergeCell ref="C310:D310"/>
    <mergeCell ref="C311:D311"/>
    <mergeCell ref="C312:D312"/>
    <mergeCell ref="C303:D303"/>
    <mergeCell ref="B304:G304"/>
    <mergeCell ref="C305:D305"/>
    <mergeCell ref="C306:D306"/>
    <mergeCell ref="C307:D307"/>
    <mergeCell ref="C298:D298"/>
    <mergeCell ref="B299:G299"/>
    <mergeCell ref="C300:D300"/>
    <mergeCell ref="C301:D301"/>
    <mergeCell ref="C302:D302"/>
    <mergeCell ref="C293:D293"/>
    <mergeCell ref="C294:D294"/>
    <mergeCell ref="C295:D295"/>
    <mergeCell ref="C296:D296"/>
    <mergeCell ref="C297:D297"/>
    <mergeCell ref="C288:D288"/>
    <mergeCell ref="C289:D289"/>
    <mergeCell ref="C290:D290"/>
    <mergeCell ref="C291:D291"/>
    <mergeCell ref="C292:D292"/>
    <mergeCell ref="C283:D283"/>
    <mergeCell ref="C284:D284"/>
    <mergeCell ref="C285:D285"/>
    <mergeCell ref="C286:D286"/>
    <mergeCell ref="C287:D287"/>
    <mergeCell ref="C278:D278"/>
    <mergeCell ref="C279:D279"/>
    <mergeCell ref="C280:D280"/>
    <mergeCell ref="C281:D281"/>
    <mergeCell ref="C282:D282"/>
    <mergeCell ref="C273:D273"/>
    <mergeCell ref="C274:D274"/>
    <mergeCell ref="C275:D275"/>
    <mergeCell ref="C276:D276"/>
    <mergeCell ref="C277:D277"/>
    <mergeCell ref="C268:D268"/>
    <mergeCell ref="C269:D269"/>
    <mergeCell ref="C270:D270"/>
    <mergeCell ref="C271:D271"/>
    <mergeCell ref="C272:D272"/>
    <mergeCell ref="C263:D263"/>
    <mergeCell ref="C264:D264"/>
    <mergeCell ref="C265:D265"/>
    <mergeCell ref="C266:D266"/>
    <mergeCell ref="C267:D267"/>
    <mergeCell ref="C258:D258"/>
    <mergeCell ref="C259:D259"/>
    <mergeCell ref="C260:D260"/>
    <mergeCell ref="C261:D261"/>
    <mergeCell ref="C262:D262"/>
    <mergeCell ref="C253:D253"/>
    <mergeCell ref="C254:D254"/>
    <mergeCell ref="C255:D255"/>
    <mergeCell ref="C256:D256"/>
    <mergeCell ref="C257:D257"/>
    <mergeCell ref="C248:D248"/>
    <mergeCell ref="C249:D249"/>
    <mergeCell ref="C250:D250"/>
    <mergeCell ref="C251:D251"/>
    <mergeCell ref="C252:D252"/>
    <mergeCell ref="B243:G243"/>
    <mergeCell ref="C244:D244"/>
    <mergeCell ref="C245:D245"/>
    <mergeCell ref="C246:D246"/>
    <mergeCell ref="C247:D247"/>
    <mergeCell ref="C238:D238"/>
    <mergeCell ref="C239:D239"/>
    <mergeCell ref="C240:D240"/>
    <mergeCell ref="C241:D241"/>
    <mergeCell ref="C242:D242"/>
    <mergeCell ref="C233:D233"/>
    <mergeCell ref="C234:D234"/>
    <mergeCell ref="C235:D235"/>
    <mergeCell ref="C236:D236"/>
    <mergeCell ref="C237:D237"/>
    <mergeCell ref="C228:D228"/>
    <mergeCell ref="C229:D229"/>
    <mergeCell ref="C230:D230"/>
    <mergeCell ref="C231:D231"/>
    <mergeCell ref="C232:D232"/>
    <mergeCell ref="C223:D223"/>
    <mergeCell ref="C224:D224"/>
    <mergeCell ref="C225:D225"/>
    <mergeCell ref="C226:D226"/>
    <mergeCell ref="C227:D227"/>
    <mergeCell ref="C218:D218"/>
    <mergeCell ref="C219:D219"/>
    <mergeCell ref="C220:D220"/>
    <mergeCell ref="C221:D221"/>
    <mergeCell ref="C222:D222"/>
    <mergeCell ref="C213:D213"/>
    <mergeCell ref="C214:D214"/>
    <mergeCell ref="C215:D215"/>
    <mergeCell ref="C216:D216"/>
    <mergeCell ref="C217:D217"/>
    <mergeCell ref="C208:D208"/>
    <mergeCell ref="C209:D209"/>
    <mergeCell ref="C210:D210"/>
    <mergeCell ref="C211:D211"/>
    <mergeCell ref="C212:D212"/>
    <mergeCell ref="C203:D203"/>
    <mergeCell ref="C204:D204"/>
    <mergeCell ref="C205:D205"/>
    <mergeCell ref="C206:D206"/>
    <mergeCell ref="C207:D207"/>
    <mergeCell ref="C198:D198"/>
    <mergeCell ref="C199:D199"/>
    <mergeCell ref="C200:D200"/>
    <mergeCell ref="C201:D201"/>
    <mergeCell ref="C202:D202"/>
    <mergeCell ref="C193:D193"/>
    <mergeCell ref="C194:D194"/>
    <mergeCell ref="C195:D195"/>
    <mergeCell ref="C196:D196"/>
    <mergeCell ref="C197:D197"/>
    <mergeCell ref="C188:D188"/>
    <mergeCell ref="C189:D189"/>
    <mergeCell ref="C190:D190"/>
    <mergeCell ref="C191:D191"/>
    <mergeCell ref="C192:D192"/>
    <mergeCell ref="C183:D183"/>
    <mergeCell ref="C184:D184"/>
    <mergeCell ref="C185:D185"/>
    <mergeCell ref="C186:D186"/>
    <mergeCell ref="C187:D187"/>
    <mergeCell ref="C178:D178"/>
    <mergeCell ref="C179:D179"/>
    <mergeCell ref="C180:D180"/>
    <mergeCell ref="C181:D181"/>
    <mergeCell ref="C182:D182"/>
    <mergeCell ref="C173:D173"/>
    <mergeCell ref="C174:D174"/>
    <mergeCell ref="C175:D175"/>
    <mergeCell ref="C176:D176"/>
    <mergeCell ref="B177:G177"/>
    <mergeCell ref="C168:D168"/>
    <mergeCell ref="C169:D169"/>
    <mergeCell ref="C170:D170"/>
    <mergeCell ref="C171:D171"/>
    <mergeCell ref="C172:D172"/>
    <mergeCell ref="C163:D163"/>
    <mergeCell ref="C164:D164"/>
    <mergeCell ref="C165:D165"/>
    <mergeCell ref="C166:D166"/>
    <mergeCell ref="C167:D167"/>
    <mergeCell ref="C158:D158"/>
    <mergeCell ref="C159:D159"/>
    <mergeCell ref="C160:D160"/>
    <mergeCell ref="C161:D161"/>
    <mergeCell ref="C162:D162"/>
    <mergeCell ref="C153:D153"/>
    <mergeCell ref="B154:G154"/>
    <mergeCell ref="C155:I155"/>
    <mergeCell ref="C156:D156"/>
    <mergeCell ref="C157:D157"/>
    <mergeCell ref="C148:D148"/>
    <mergeCell ref="C149:D149"/>
    <mergeCell ref="C150:G150"/>
    <mergeCell ref="C151:D151"/>
    <mergeCell ref="C152:D152"/>
    <mergeCell ref="C143:D143"/>
    <mergeCell ref="C144:D144"/>
    <mergeCell ref="C145:G145"/>
    <mergeCell ref="C146:D146"/>
    <mergeCell ref="C147:G147"/>
    <mergeCell ref="C138:D138"/>
    <mergeCell ref="B139:G139"/>
    <mergeCell ref="C140:I140"/>
    <mergeCell ref="C141:D141"/>
    <mergeCell ref="C142:D142"/>
    <mergeCell ref="B133:G133"/>
    <mergeCell ref="C134:I134"/>
    <mergeCell ref="C135:D135"/>
    <mergeCell ref="C136:D136"/>
    <mergeCell ref="C137:D137"/>
    <mergeCell ref="C128:D128"/>
    <mergeCell ref="C129:D129"/>
    <mergeCell ref="C130:D130"/>
    <mergeCell ref="C131:D131"/>
    <mergeCell ref="C132:D132"/>
    <mergeCell ref="B123:G123"/>
    <mergeCell ref="B124:G124"/>
    <mergeCell ref="C125:I125"/>
    <mergeCell ref="C126:D126"/>
    <mergeCell ref="C127:D127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B116:G116"/>
    <mergeCell ref="C117:I117"/>
    <mergeCell ref="C108:I108"/>
    <mergeCell ref="C109:I109"/>
    <mergeCell ref="C110:D110"/>
    <mergeCell ref="C111:D111"/>
    <mergeCell ref="C112:D112"/>
    <mergeCell ref="C103:D103"/>
    <mergeCell ref="C104:D104"/>
    <mergeCell ref="C105:D105"/>
    <mergeCell ref="C106:D106"/>
    <mergeCell ref="B107:G107"/>
    <mergeCell ref="C98:D98"/>
    <mergeCell ref="C99:D99"/>
    <mergeCell ref="C100:D100"/>
    <mergeCell ref="B101:G101"/>
    <mergeCell ref="C102:I102"/>
    <mergeCell ref="B93:G93"/>
    <mergeCell ref="C94:I94"/>
    <mergeCell ref="C95:D95"/>
    <mergeCell ref="C96:D96"/>
    <mergeCell ref="C97:D97"/>
    <mergeCell ref="B88:G88"/>
    <mergeCell ref="C89:G89"/>
    <mergeCell ref="C90:I90"/>
    <mergeCell ref="C91:D91"/>
    <mergeCell ref="C92:D92"/>
    <mergeCell ref="C84:D84"/>
    <mergeCell ref="C85:D85"/>
    <mergeCell ref="C86:D86"/>
    <mergeCell ref="C87:D87"/>
    <mergeCell ref="C83:D83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B59:G59"/>
    <mergeCell ref="C60:I60"/>
    <mergeCell ref="C61:D61"/>
    <mergeCell ref="C62:D62"/>
    <mergeCell ref="C53:D53"/>
    <mergeCell ref="C54:D54"/>
    <mergeCell ref="C55:D55"/>
    <mergeCell ref="C56:D56"/>
    <mergeCell ref="C57:D57"/>
    <mergeCell ref="C48:D48"/>
    <mergeCell ref="B49:G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B39:G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3:D3"/>
    <mergeCell ref="C4:D4"/>
    <mergeCell ref="C5:D5"/>
    <mergeCell ref="C6:D6"/>
    <mergeCell ref="C7:D7"/>
    <mergeCell ref="A1:D1"/>
    <mergeCell ref="E1:J1"/>
    <mergeCell ref="A2:B2"/>
    <mergeCell ref="C2:D2"/>
    <mergeCell ref="F2:J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B17:G17"/>
    <mergeCell ref="C8:D8"/>
    <mergeCell ref="C9:D9"/>
    <mergeCell ref="B10:G10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1"/>
  <sheetViews>
    <sheetView showGridLines="0" view="pageBreakPreview" zoomScale="70" zoomScaleNormal="70" zoomScaleSheetLayoutView="70" workbookViewId="0">
      <selection activeCell="K8" sqref="K8:P8"/>
    </sheetView>
  </sheetViews>
  <sheetFormatPr defaultColWidth="9.33203125" defaultRowHeight="12.75" x14ac:dyDescent="0.2"/>
  <cols>
    <col min="1" max="1" width="15.83203125" style="63" customWidth="1"/>
    <col min="2" max="2" width="15.83203125" style="64" customWidth="1"/>
    <col min="3" max="3" width="61" style="63" customWidth="1"/>
    <col min="4" max="4" width="8.83203125" style="63" customWidth="1"/>
    <col min="5" max="8" width="15.83203125" style="63" customWidth="1"/>
    <col min="9" max="9" width="20.83203125" style="63" customWidth="1"/>
    <col min="10" max="15" width="15.83203125" style="63" customWidth="1"/>
    <col min="16" max="16" width="15" style="63" customWidth="1"/>
    <col min="17" max="17" width="20.83203125" style="63" customWidth="1"/>
    <col min="18" max="18" width="22.33203125" style="63" customWidth="1"/>
    <col min="19" max="19" width="17.83203125" style="63" customWidth="1"/>
    <col min="20" max="16384" width="9.33203125" style="63"/>
  </cols>
  <sheetData>
    <row r="1" spans="1:19" s="67" customFormat="1" ht="12" customHeight="1" x14ac:dyDescent="0.2">
      <c r="A1" s="166" t="s">
        <v>1287</v>
      </c>
      <c r="B1" s="167"/>
      <c r="C1" s="167"/>
      <c r="D1" s="167"/>
      <c r="E1" s="167"/>
      <c r="F1" s="167"/>
      <c r="G1" s="167"/>
      <c r="H1" s="167"/>
      <c r="I1" s="167"/>
      <c r="J1" s="168"/>
      <c r="K1" s="166"/>
      <c r="L1" s="167"/>
      <c r="M1" s="167"/>
      <c r="N1" s="168"/>
      <c r="O1" s="55"/>
      <c r="Q1" s="66"/>
      <c r="R1" s="55"/>
      <c r="S1" s="68">
        <v>0.27589999999999998</v>
      </c>
    </row>
    <row r="2" spans="1:19" s="67" customFormat="1" ht="12" customHeight="1" x14ac:dyDescent="0.2">
      <c r="A2" s="169"/>
      <c r="B2" s="170"/>
      <c r="C2" s="170"/>
      <c r="D2" s="170"/>
      <c r="E2" s="170"/>
      <c r="F2" s="170"/>
      <c r="G2" s="170"/>
      <c r="H2" s="170"/>
      <c r="I2" s="170"/>
      <c r="J2" s="171"/>
      <c r="K2" s="169"/>
      <c r="L2" s="170"/>
      <c r="M2" s="170"/>
      <c r="N2" s="171"/>
      <c r="O2" s="57"/>
      <c r="R2" s="57"/>
      <c r="S2" s="57"/>
    </row>
    <row r="3" spans="1:19" s="67" customFormat="1" ht="12" customHeight="1" x14ac:dyDescent="0.2">
      <c r="A3" s="169"/>
      <c r="B3" s="170"/>
      <c r="C3" s="170"/>
      <c r="D3" s="170"/>
      <c r="E3" s="170"/>
      <c r="F3" s="170"/>
      <c r="G3" s="170"/>
      <c r="H3" s="170"/>
      <c r="I3" s="170"/>
      <c r="J3" s="171"/>
      <c r="K3" s="169"/>
      <c r="L3" s="170"/>
      <c r="M3" s="170"/>
      <c r="N3" s="171"/>
      <c r="O3" s="57"/>
      <c r="R3" s="57"/>
      <c r="S3" s="57"/>
    </row>
    <row r="4" spans="1:19" s="67" customFormat="1" ht="12" customHeight="1" x14ac:dyDescent="0.2">
      <c r="A4" s="169"/>
      <c r="B4" s="170"/>
      <c r="C4" s="170"/>
      <c r="D4" s="170"/>
      <c r="E4" s="170"/>
      <c r="F4" s="170"/>
      <c r="G4" s="170"/>
      <c r="H4" s="170"/>
      <c r="I4" s="170"/>
      <c r="J4" s="171"/>
      <c r="K4" s="169"/>
      <c r="L4" s="170"/>
      <c r="M4" s="170"/>
      <c r="N4" s="171"/>
      <c r="O4" s="57"/>
      <c r="R4" s="57"/>
      <c r="S4" s="57"/>
    </row>
    <row r="5" spans="1:19" s="67" customFormat="1" ht="12" customHeight="1" x14ac:dyDescent="0.2">
      <c r="A5" s="169"/>
      <c r="B5" s="170"/>
      <c r="C5" s="170"/>
      <c r="D5" s="170"/>
      <c r="E5" s="170"/>
      <c r="F5" s="170"/>
      <c r="G5" s="170"/>
      <c r="H5" s="170"/>
      <c r="I5" s="170"/>
      <c r="J5" s="171"/>
      <c r="K5" s="169"/>
      <c r="L5" s="170"/>
      <c r="M5" s="170"/>
      <c r="N5" s="171"/>
      <c r="O5" s="57"/>
      <c r="R5" s="57"/>
      <c r="S5" s="57"/>
    </row>
    <row r="6" spans="1:19" s="67" customFormat="1" ht="12" customHeight="1" x14ac:dyDescent="0.2">
      <c r="A6" s="169"/>
      <c r="B6" s="170"/>
      <c r="C6" s="170"/>
      <c r="D6" s="170"/>
      <c r="E6" s="170"/>
      <c r="F6" s="170"/>
      <c r="G6" s="170"/>
      <c r="H6" s="170"/>
      <c r="I6" s="170"/>
      <c r="J6" s="171"/>
      <c r="K6" s="169"/>
      <c r="L6" s="170"/>
      <c r="M6" s="170"/>
      <c r="N6" s="171"/>
      <c r="O6" s="57"/>
      <c r="R6" s="57"/>
      <c r="S6" s="57"/>
    </row>
    <row r="7" spans="1:19" s="67" customFormat="1" ht="12" customHeight="1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4"/>
      <c r="K7" s="172"/>
      <c r="L7" s="173"/>
      <c r="M7" s="173"/>
      <c r="N7" s="174"/>
      <c r="O7" s="57"/>
      <c r="R7" s="57"/>
      <c r="S7" s="57"/>
    </row>
    <row r="8" spans="1:19" s="67" customFormat="1" ht="20.25" customHeight="1" x14ac:dyDescent="0.2">
      <c r="A8" s="175" t="s">
        <v>1288</v>
      </c>
      <c r="B8" s="176"/>
      <c r="C8" s="176"/>
      <c r="D8" s="176"/>
      <c r="E8" s="177"/>
      <c r="F8" s="161" t="s">
        <v>1289</v>
      </c>
      <c r="G8" s="162"/>
      <c r="H8" s="162"/>
      <c r="I8" s="178" t="s">
        <v>1290</v>
      </c>
      <c r="J8" s="179"/>
      <c r="K8" s="161" t="s">
        <v>1291</v>
      </c>
      <c r="L8" s="162"/>
      <c r="M8" s="161" t="s">
        <v>1292</v>
      </c>
      <c r="N8" s="162"/>
      <c r="O8" s="57"/>
      <c r="R8" s="57"/>
      <c r="S8" s="57"/>
    </row>
    <row r="9" spans="1:19" s="67" customFormat="1" ht="15" customHeight="1" x14ac:dyDescent="0.2">
      <c r="A9" s="175" t="s">
        <v>1293</v>
      </c>
      <c r="B9" s="176"/>
      <c r="C9" s="176"/>
      <c r="D9" s="176"/>
      <c r="E9" s="177"/>
      <c r="F9" s="161" t="s">
        <v>1294</v>
      </c>
      <c r="G9" s="162"/>
      <c r="H9" s="162"/>
      <c r="I9" s="163">
        <v>43612</v>
      </c>
      <c r="J9" s="162"/>
      <c r="K9" s="161" t="s">
        <v>1295</v>
      </c>
      <c r="L9" s="162"/>
      <c r="M9" s="163">
        <v>43539</v>
      </c>
      <c r="N9" s="162"/>
      <c r="O9" s="57"/>
      <c r="R9" s="57"/>
      <c r="S9" s="57"/>
    </row>
    <row r="10" spans="1:19" s="67" customFormat="1" ht="12" customHeight="1" x14ac:dyDescent="0.2">
      <c r="A10" s="180" t="s">
        <v>1299</v>
      </c>
      <c r="B10" s="181"/>
      <c r="C10" s="181"/>
      <c r="D10" s="181"/>
      <c r="E10" s="182"/>
      <c r="F10" s="161" t="s">
        <v>1296</v>
      </c>
      <c r="G10" s="161"/>
      <c r="H10" s="161"/>
      <c r="I10" s="186">
        <f>K803</f>
        <v>1791994.5999999999</v>
      </c>
      <c r="J10" s="186"/>
      <c r="K10" s="161" t="s">
        <v>1297</v>
      </c>
      <c r="L10" s="162"/>
      <c r="M10" s="163">
        <v>43905</v>
      </c>
      <c r="N10" s="162"/>
      <c r="O10" s="57"/>
      <c r="R10" s="57"/>
      <c r="S10" s="57"/>
    </row>
    <row r="11" spans="1:19" s="67" customFormat="1" ht="12" customHeight="1" x14ac:dyDescent="0.2">
      <c r="A11" s="183"/>
      <c r="B11" s="184"/>
      <c r="C11" s="184"/>
      <c r="D11" s="184"/>
      <c r="E11" s="185"/>
      <c r="F11" s="164" t="s">
        <v>1298</v>
      </c>
      <c r="G11" s="164"/>
      <c r="H11" s="164"/>
      <c r="I11" s="165">
        <f>L803</f>
        <v>175590.38639999999</v>
      </c>
      <c r="J11" s="165"/>
      <c r="K11" s="162"/>
      <c r="L11" s="162"/>
      <c r="M11" s="162"/>
      <c r="N11" s="162"/>
      <c r="O11" s="57"/>
      <c r="R11" s="57"/>
      <c r="S11" s="57"/>
    </row>
    <row r="12" spans="1:19" s="56" customFormat="1" ht="24" x14ac:dyDescent="0.2">
      <c r="A12" s="92" t="s">
        <v>166</v>
      </c>
      <c r="B12" s="93" t="s">
        <v>4</v>
      </c>
      <c r="C12" s="93" t="s">
        <v>5</v>
      </c>
      <c r="D12" s="70" t="s">
        <v>6</v>
      </c>
      <c r="E12" s="70" t="s">
        <v>7</v>
      </c>
      <c r="F12" s="70" t="s">
        <v>1282</v>
      </c>
      <c r="G12" s="70" t="s">
        <v>1283</v>
      </c>
      <c r="H12" s="69" t="s">
        <v>1279</v>
      </c>
      <c r="I12" s="69" t="s">
        <v>168</v>
      </c>
      <c r="J12" s="69" t="s">
        <v>169</v>
      </c>
      <c r="K12" s="69" t="s">
        <v>170</v>
      </c>
      <c r="L12" s="70" t="s">
        <v>1284</v>
      </c>
      <c r="M12" s="70" t="s">
        <v>1285</v>
      </c>
      <c r="N12" s="70" t="s">
        <v>1286</v>
      </c>
      <c r="O12" s="54"/>
      <c r="Q12" s="58">
        <f>K803</f>
        <v>1791994.5999999999</v>
      </c>
      <c r="R12" s="53">
        <v>1</v>
      </c>
    </row>
    <row r="13" spans="1:19" s="56" customFormat="1" ht="12" x14ac:dyDescent="0.2">
      <c r="A13" s="72"/>
      <c r="B13" s="70" t="s">
        <v>8</v>
      </c>
      <c r="C13" s="71" t="s">
        <v>9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52"/>
      <c r="Q13" s="58">
        <v>1791994.68</v>
      </c>
      <c r="R13" s="52"/>
    </row>
    <row r="14" spans="1:19" s="56" customFormat="1" ht="12" x14ac:dyDescent="0.2">
      <c r="A14" s="72"/>
      <c r="B14" s="70" t="s">
        <v>10</v>
      </c>
      <c r="C14" s="71" t="s">
        <v>11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52"/>
      <c r="R14" s="52"/>
    </row>
    <row r="15" spans="1:19" s="56" customFormat="1" ht="12" x14ac:dyDescent="0.2">
      <c r="A15" s="94">
        <v>93207</v>
      </c>
      <c r="B15" s="73" t="s">
        <v>12</v>
      </c>
      <c r="C15" s="74" t="s">
        <v>13</v>
      </c>
      <c r="D15" s="73" t="s">
        <v>14</v>
      </c>
      <c r="E15" s="75">
        <v>25.41</v>
      </c>
      <c r="F15" s="75">
        <v>25.41</v>
      </c>
      <c r="G15" s="75">
        <f>F15</f>
        <v>25.41</v>
      </c>
      <c r="H15" s="75">
        <f>ROUND(R15*$R$12,2)</f>
        <v>596.15</v>
      </c>
      <c r="I15" s="75">
        <f>ROUND(H15*(1+$S$1),2)</f>
        <v>760.63</v>
      </c>
      <c r="J15" s="76">
        <f>ROUND(E15*H15,2)</f>
        <v>15148.17</v>
      </c>
      <c r="K15" s="76">
        <f>ROUND(E15*I15,2)</f>
        <v>19327.61</v>
      </c>
      <c r="L15" s="76">
        <f>F15*I15</f>
        <v>19327.6083</v>
      </c>
      <c r="M15" s="76">
        <f>G15*I15</f>
        <v>19327.6083</v>
      </c>
      <c r="N15" s="90">
        <f>M15/K15</f>
        <v>0.99999991204292715</v>
      </c>
      <c r="O15" s="51"/>
      <c r="R15" s="53">
        <v>596.15</v>
      </c>
    </row>
    <row r="16" spans="1:19" s="56" customFormat="1" ht="24" x14ac:dyDescent="0.2">
      <c r="A16" s="73" t="s">
        <v>15</v>
      </c>
      <c r="B16" s="73" t="s">
        <v>16</v>
      </c>
      <c r="C16" s="74" t="s">
        <v>17</v>
      </c>
      <c r="D16" s="73" t="s">
        <v>14</v>
      </c>
      <c r="E16" s="75">
        <v>3</v>
      </c>
      <c r="F16" s="75"/>
      <c r="G16" s="75">
        <f>F16</f>
        <v>0</v>
      </c>
      <c r="H16" s="75">
        <f>ROUND(R16*$R$12,2)</f>
        <v>254.73</v>
      </c>
      <c r="I16" s="75">
        <f>ROUND(H16*(1+$S$1),2)</f>
        <v>325.01</v>
      </c>
      <c r="J16" s="76">
        <f>ROUND(E16*H16,2)</f>
        <v>764.19</v>
      </c>
      <c r="K16" s="76">
        <f>ROUND(E16*I16,2)</f>
        <v>975.03</v>
      </c>
      <c r="L16" s="76">
        <f>F16*I16</f>
        <v>0</v>
      </c>
      <c r="M16" s="76">
        <f>G16*I16</f>
        <v>0</v>
      </c>
      <c r="N16" s="90">
        <f>M16/K16</f>
        <v>0</v>
      </c>
      <c r="O16" s="51"/>
      <c r="R16" s="53">
        <v>254.73</v>
      </c>
    </row>
    <row r="17" spans="1:18" s="56" customFormat="1" ht="24" x14ac:dyDescent="0.2">
      <c r="A17" s="94">
        <v>92235</v>
      </c>
      <c r="B17" s="73" t="s">
        <v>18</v>
      </c>
      <c r="C17" s="74" t="s">
        <v>19</v>
      </c>
      <c r="D17" s="73" t="s">
        <v>14</v>
      </c>
      <c r="E17" s="75">
        <v>650</v>
      </c>
      <c r="F17" s="75">
        <v>82.11</v>
      </c>
      <c r="G17" s="75">
        <f>F17</f>
        <v>82.11</v>
      </c>
      <c r="H17" s="75">
        <f>ROUND(R17*$R$12,2)</f>
        <v>49.62</v>
      </c>
      <c r="I17" s="75">
        <f>ROUND(H17*(1+$S$1),2)</f>
        <v>63.31</v>
      </c>
      <c r="J17" s="76">
        <f>ROUND(E17*H17,2)</f>
        <v>32253</v>
      </c>
      <c r="K17" s="76">
        <f>ROUND(E17*I17,2)</f>
        <v>41151.5</v>
      </c>
      <c r="L17" s="76">
        <f>F17*I17</f>
        <v>5198.3841000000002</v>
      </c>
      <c r="M17" s="76">
        <f>G17*I17</f>
        <v>5198.3841000000002</v>
      </c>
      <c r="N17" s="90">
        <f>M17/K17</f>
        <v>0.12632307692307693</v>
      </c>
      <c r="O17" s="51"/>
      <c r="R17" s="53">
        <v>49.62</v>
      </c>
    </row>
    <row r="18" spans="1:18" s="56" customFormat="1" ht="12" x14ac:dyDescent="0.2">
      <c r="A18" s="73" t="s">
        <v>20</v>
      </c>
      <c r="B18" s="73" t="s">
        <v>21</v>
      </c>
      <c r="C18" s="74" t="s">
        <v>22</v>
      </c>
      <c r="D18" s="73" t="s">
        <v>23</v>
      </c>
      <c r="E18" s="75">
        <v>385.84</v>
      </c>
      <c r="F18" s="75">
        <v>385.84</v>
      </c>
      <c r="G18" s="75">
        <f>F18</f>
        <v>385.84</v>
      </c>
      <c r="H18" s="75">
        <f>ROUND(R18*$R$12,2)</f>
        <v>5.2</v>
      </c>
      <c r="I18" s="75">
        <f>ROUND(H18*(1+$S$1),2)</f>
        <v>6.63</v>
      </c>
      <c r="J18" s="76">
        <f>ROUND(E18*H18,2)</f>
        <v>2006.37</v>
      </c>
      <c r="K18" s="76">
        <f>ROUND(E18*I18,2)</f>
        <v>2558.12</v>
      </c>
      <c r="L18" s="76">
        <f>F18*I18</f>
        <v>2558.1191999999996</v>
      </c>
      <c r="M18" s="76">
        <f>G18*I18</f>
        <v>2558.1191999999996</v>
      </c>
      <c r="N18" s="90">
        <f>M18/K18</f>
        <v>0.99999968727033905</v>
      </c>
      <c r="O18" s="51"/>
      <c r="R18" s="53">
        <v>5.2</v>
      </c>
    </row>
    <row r="19" spans="1:18" s="56" customFormat="1" ht="12" x14ac:dyDescent="0.2">
      <c r="A19" s="72"/>
      <c r="B19" s="71"/>
      <c r="C19" s="71"/>
      <c r="D19" s="71"/>
      <c r="E19" s="71"/>
      <c r="F19" s="71"/>
      <c r="G19" s="71"/>
      <c r="H19" s="75"/>
      <c r="I19" s="77" t="s">
        <v>24</v>
      </c>
      <c r="J19" s="78">
        <f>SUM(J15:J18)</f>
        <v>50171.73</v>
      </c>
      <c r="K19" s="78">
        <f>SUM(K15:K18)</f>
        <v>64012.26</v>
      </c>
      <c r="L19" s="78">
        <f>SUM(L15:L18)</f>
        <v>27084.1116</v>
      </c>
      <c r="M19" s="78">
        <f>SUM(M15:M18)</f>
        <v>27084.1116</v>
      </c>
      <c r="N19" s="91">
        <f>M19/K19</f>
        <v>0.42310819208695333</v>
      </c>
      <c r="O19" s="60"/>
      <c r="P19" s="58"/>
      <c r="R19" s="59"/>
    </row>
    <row r="20" spans="1:18" s="56" customFormat="1" ht="12" x14ac:dyDescent="0.2">
      <c r="A20" s="72"/>
      <c r="B20" s="70" t="s">
        <v>25</v>
      </c>
      <c r="C20" s="71" t="s">
        <v>26</v>
      </c>
      <c r="D20" s="72"/>
      <c r="E20" s="72"/>
      <c r="F20" s="72"/>
      <c r="G20" s="72"/>
      <c r="H20" s="75"/>
      <c r="I20" s="72"/>
      <c r="J20" s="72"/>
      <c r="K20" s="72"/>
      <c r="L20" s="72"/>
      <c r="M20" s="72"/>
      <c r="N20" s="72"/>
      <c r="O20" s="52"/>
      <c r="R20" s="52"/>
    </row>
    <row r="21" spans="1:18" s="56" customFormat="1" ht="12" x14ac:dyDescent="0.2">
      <c r="A21" s="72"/>
      <c r="B21" s="70" t="s">
        <v>27</v>
      </c>
      <c r="C21" s="71" t="s">
        <v>1262</v>
      </c>
      <c r="D21" s="72"/>
      <c r="E21" s="72"/>
      <c r="F21" s="72"/>
      <c r="G21" s="72"/>
      <c r="H21" s="75"/>
      <c r="I21" s="72"/>
      <c r="J21" s="72"/>
      <c r="K21" s="72"/>
      <c r="L21" s="72"/>
      <c r="M21" s="72"/>
      <c r="N21" s="72"/>
      <c r="O21" s="52"/>
      <c r="R21" s="52"/>
    </row>
    <row r="22" spans="1:18" s="56" customFormat="1" ht="13.5" x14ac:dyDescent="0.2">
      <c r="A22" s="94">
        <v>94965</v>
      </c>
      <c r="B22" s="73" t="s">
        <v>29</v>
      </c>
      <c r="C22" s="74" t="s">
        <v>30</v>
      </c>
      <c r="D22" s="69" t="s">
        <v>171</v>
      </c>
      <c r="E22" s="75">
        <v>7.82</v>
      </c>
      <c r="F22" s="75"/>
      <c r="G22" s="75"/>
      <c r="H22" s="75">
        <f>ROUND(R22*$R$12,2)</f>
        <v>302.64</v>
      </c>
      <c r="I22" s="75">
        <f>ROUND(H22*(1+$S$1),2)</f>
        <v>386.14</v>
      </c>
      <c r="J22" s="76">
        <f>ROUND(E22*H22,2)</f>
        <v>2366.64</v>
      </c>
      <c r="K22" s="76">
        <f>ROUND(E22*I22,2)</f>
        <v>3019.61</v>
      </c>
      <c r="L22" s="76"/>
      <c r="M22" s="76"/>
      <c r="N22" s="76"/>
      <c r="O22" s="51"/>
      <c r="R22" s="53">
        <v>302.64</v>
      </c>
    </row>
    <row r="23" spans="1:18" s="56" customFormat="1" ht="24" x14ac:dyDescent="0.2">
      <c r="A23" s="94">
        <v>92873</v>
      </c>
      <c r="B23" s="73" t="s">
        <v>31</v>
      </c>
      <c r="C23" s="74" t="s">
        <v>32</v>
      </c>
      <c r="D23" s="69" t="s">
        <v>171</v>
      </c>
      <c r="E23" s="75">
        <v>7.82</v>
      </c>
      <c r="F23" s="75"/>
      <c r="G23" s="75"/>
      <c r="H23" s="75">
        <f>ROUND(R23*$R$12,2)</f>
        <v>135.94</v>
      </c>
      <c r="I23" s="75">
        <f>ROUND(H23*(1+$S$1),2)</f>
        <v>173.45</v>
      </c>
      <c r="J23" s="76">
        <f>ROUND(E23*H23,2)</f>
        <v>1063.05</v>
      </c>
      <c r="K23" s="76">
        <f>ROUND(E23*I23,2)</f>
        <v>1356.38</v>
      </c>
      <c r="L23" s="76"/>
      <c r="M23" s="76"/>
      <c r="N23" s="76"/>
      <c r="O23" s="51"/>
      <c r="R23" s="53">
        <v>135.94</v>
      </c>
    </row>
    <row r="24" spans="1:18" s="56" customFormat="1" ht="12" x14ac:dyDescent="0.2">
      <c r="A24" s="94">
        <v>92762</v>
      </c>
      <c r="B24" s="73" t="s">
        <v>33</v>
      </c>
      <c r="C24" s="74" t="s">
        <v>34</v>
      </c>
      <c r="D24" s="73" t="s">
        <v>35</v>
      </c>
      <c r="E24" s="75">
        <v>106.97</v>
      </c>
      <c r="F24" s="75"/>
      <c r="G24" s="75"/>
      <c r="H24" s="75">
        <f>ROUND(R24*$R$12,2)</f>
        <v>5.86</v>
      </c>
      <c r="I24" s="75">
        <f>ROUND(H24*(1+$S$1),2)</f>
        <v>7.48</v>
      </c>
      <c r="J24" s="76">
        <f>ROUND(E24*H24,2)</f>
        <v>626.84</v>
      </c>
      <c r="K24" s="76">
        <f>ROUND(E24*I24,2)</f>
        <v>800.14</v>
      </c>
      <c r="L24" s="76"/>
      <c r="M24" s="76"/>
      <c r="N24" s="76"/>
      <c r="O24" s="51"/>
      <c r="R24" s="53">
        <v>5.86</v>
      </c>
    </row>
    <row r="25" spans="1:18" s="56" customFormat="1" ht="24" x14ac:dyDescent="0.2">
      <c r="A25" s="94">
        <v>96523</v>
      </c>
      <c r="B25" s="73" t="s">
        <v>36</v>
      </c>
      <c r="C25" s="74" t="s">
        <v>37</v>
      </c>
      <c r="D25" s="69" t="s">
        <v>171</v>
      </c>
      <c r="E25" s="75">
        <v>17.05</v>
      </c>
      <c r="F25" s="75">
        <v>17.05</v>
      </c>
      <c r="G25" s="75">
        <f>F25</f>
        <v>17.05</v>
      </c>
      <c r="H25" s="75">
        <f>ROUND(R25*$R$12,2)</f>
        <v>59.37</v>
      </c>
      <c r="I25" s="75">
        <f>ROUND(H25*(1+$S$1),2)</f>
        <v>75.75</v>
      </c>
      <c r="J25" s="76">
        <f>ROUND(E25*H25,2)</f>
        <v>1012.26</v>
      </c>
      <c r="K25" s="76">
        <f>ROUND(E25*I25,2)</f>
        <v>1291.54</v>
      </c>
      <c r="L25" s="76">
        <f>F25*I25</f>
        <v>1291.5375000000001</v>
      </c>
      <c r="M25" s="76">
        <f>G25*I25</f>
        <v>1291.5375000000001</v>
      </c>
      <c r="N25" s="90">
        <f>M25/K25</f>
        <v>0.99999806432630822</v>
      </c>
      <c r="O25" s="51"/>
      <c r="R25" s="53">
        <v>59.37</v>
      </c>
    </row>
    <row r="26" spans="1:18" s="56" customFormat="1" ht="12" x14ac:dyDescent="0.2">
      <c r="A26" s="72"/>
      <c r="B26" s="70" t="s">
        <v>1263</v>
      </c>
      <c r="C26" s="71" t="s">
        <v>28</v>
      </c>
      <c r="D26" s="72"/>
      <c r="E26" s="72"/>
      <c r="F26" s="72"/>
      <c r="G26" s="72"/>
      <c r="H26" s="75"/>
      <c r="I26" s="72"/>
      <c r="J26" s="72"/>
      <c r="K26" s="72"/>
      <c r="L26" s="72"/>
      <c r="M26" s="72"/>
      <c r="N26" s="72"/>
      <c r="O26" s="52"/>
      <c r="R26" s="52"/>
    </row>
    <row r="27" spans="1:18" s="56" customFormat="1" ht="13.5" x14ac:dyDescent="0.2">
      <c r="A27" s="94">
        <v>94965</v>
      </c>
      <c r="B27" s="73" t="s">
        <v>1264</v>
      </c>
      <c r="C27" s="74" t="s">
        <v>30</v>
      </c>
      <c r="D27" s="69" t="s">
        <v>171</v>
      </c>
      <c r="E27" s="75">
        <v>6.16</v>
      </c>
      <c r="F27" s="75"/>
      <c r="G27" s="75"/>
      <c r="H27" s="75">
        <f>ROUND(R27*$R$12,2)</f>
        <v>302.64</v>
      </c>
      <c r="I27" s="75">
        <f>ROUND(H27*(1+$S$1),2)</f>
        <v>386.14</v>
      </c>
      <c r="J27" s="76">
        <f>ROUND(E27*H27,2)</f>
        <v>1864.26</v>
      </c>
      <c r="K27" s="76">
        <f>ROUND(E27*I27,2)</f>
        <v>2378.62</v>
      </c>
      <c r="L27" s="76"/>
      <c r="M27" s="76"/>
      <c r="N27" s="76"/>
      <c r="O27" s="51"/>
      <c r="R27" s="53">
        <v>302.64</v>
      </c>
    </row>
    <row r="28" spans="1:18" s="56" customFormat="1" ht="24" x14ac:dyDescent="0.2">
      <c r="A28" s="94">
        <v>92873</v>
      </c>
      <c r="B28" s="73" t="s">
        <v>1265</v>
      </c>
      <c r="C28" s="74" t="s">
        <v>32</v>
      </c>
      <c r="D28" s="69" t="s">
        <v>171</v>
      </c>
      <c r="E28" s="75">
        <v>6.16</v>
      </c>
      <c r="F28" s="75"/>
      <c r="G28" s="75"/>
      <c r="H28" s="75">
        <f>ROUND(R28*$R$12,2)</f>
        <v>135.94</v>
      </c>
      <c r="I28" s="75">
        <f>ROUND(H28*(1+$S$1),2)</f>
        <v>173.45</v>
      </c>
      <c r="J28" s="76">
        <f>ROUND(E28*H28,2)</f>
        <v>837.39</v>
      </c>
      <c r="K28" s="76">
        <f>ROUND(E28*I28,2)</f>
        <v>1068.45</v>
      </c>
      <c r="L28" s="76"/>
      <c r="M28" s="76"/>
      <c r="N28" s="76"/>
      <c r="O28" s="51"/>
      <c r="R28" s="53">
        <v>135.94</v>
      </c>
    </row>
    <row r="29" spans="1:18" s="56" customFormat="1" ht="12" x14ac:dyDescent="0.2">
      <c r="A29" s="94">
        <v>92762</v>
      </c>
      <c r="B29" s="73" t="s">
        <v>1266</v>
      </c>
      <c r="C29" s="74" t="s">
        <v>34</v>
      </c>
      <c r="D29" s="73" t="s">
        <v>35</v>
      </c>
      <c r="E29" s="75">
        <v>296</v>
      </c>
      <c r="F29" s="75"/>
      <c r="G29" s="75"/>
      <c r="H29" s="75">
        <f>ROUND(R29*$R$12,2)</f>
        <v>5.86</v>
      </c>
      <c r="I29" s="75">
        <f>ROUND(H29*(1+$S$1),2)</f>
        <v>7.48</v>
      </c>
      <c r="J29" s="76">
        <f>ROUND(E29*H29,2)</f>
        <v>1734.56</v>
      </c>
      <c r="K29" s="76">
        <f>ROUND(E29*I29,2)</f>
        <v>2214.08</v>
      </c>
      <c r="L29" s="76"/>
      <c r="M29" s="76"/>
      <c r="N29" s="76"/>
      <c r="O29" s="51"/>
      <c r="R29" s="53">
        <v>5.86</v>
      </c>
    </row>
    <row r="30" spans="1:18" s="56" customFormat="1" ht="24" x14ac:dyDescent="0.2">
      <c r="A30" s="94">
        <v>96523</v>
      </c>
      <c r="B30" s="73" t="s">
        <v>1267</v>
      </c>
      <c r="C30" s="74" t="s">
        <v>37</v>
      </c>
      <c r="D30" s="69" t="s">
        <v>171</v>
      </c>
      <c r="E30" s="75">
        <v>88</v>
      </c>
      <c r="F30" s="75"/>
      <c r="G30" s="75"/>
      <c r="H30" s="75">
        <f>ROUND(R30*$R$12,2)</f>
        <v>59.37</v>
      </c>
      <c r="I30" s="75">
        <f>ROUND(H30*(1+$S$1),2)</f>
        <v>75.75</v>
      </c>
      <c r="J30" s="76">
        <f>ROUND(E30*H30,2)</f>
        <v>5224.5600000000004</v>
      </c>
      <c r="K30" s="76">
        <f>ROUND(E30*I30,2)</f>
        <v>6666</v>
      </c>
      <c r="L30" s="76"/>
      <c r="M30" s="76"/>
      <c r="N30" s="76"/>
      <c r="O30" s="51"/>
      <c r="R30" s="53">
        <v>59.37</v>
      </c>
    </row>
    <row r="31" spans="1:18" s="56" customFormat="1" ht="12" x14ac:dyDescent="0.2">
      <c r="A31" s="72"/>
      <c r="B31" s="71"/>
      <c r="C31" s="71"/>
      <c r="D31" s="71"/>
      <c r="E31" s="71"/>
      <c r="F31" s="71"/>
      <c r="G31" s="71"/>
      <c r="H31" s="75"/>
      <c r="I31" s="77" t="s">
        <v>38</v>
      </c>
      <c r="J31" s="78">
        <f>SUM(J22:J30)</f>
        <v>14729.560000000001</v>
      </c>
      <c r="K31" s="78">
        <f>SUM(K22:K30)</f>
        <v>18794.82</v>
      </c>
      <c r="L31" s="78">
        <f>SUM(L22:L30)</f>
        <v>1291.5375000000001</v>
      </c>
      <c r="M31" s="78">
        <f>SUM(M22:M30)</f>
        <v>1291.5375000000001</v>
      </c>
      <c r="N31" s="91">
        <f>M31/K31</f>
        <v>6.8717737121185521E-2</v>
      </c>
      <c r="O31" s="60"/>
      <c r="P31" s="58"/>
      <c r="R31" s="59"/>
    </row>
    <row r="32" spans="1:18" s="56" customFormat="1" ht="12" x14ac:dyDescent="0.2">
      <c r="A32" s="72"/>
      <c r="B32" s="70" t="s">
        <v>39</v>
      </c>
      <c r="C32" s="71" t="s">
        <v>40</v>
      </c>
      <c r="D32" s="72"/>
      <c r="E32" s="72"/>
      <c r="F32" s="72"/>
      <c r="G32" s="72"/>
      <c r="H32" s="75"/>
      <c r="I32" s="72"/>
      <c r="J32" s="72"/>
      <c r="K32" s="72"/>
      <c r="L32" s="72"/>
      <c r="M32" s="72"/>
      <c r="N32" s="72"/>
      <c r="O32" s="52"/>
      <c r="R32" s="52"/>
    </row>
    <row r="33" spans="1:18" s="56" customFormat="1" ht="12" x14ac:dyDescent="0.2">
      <c r="A33" s="72"/>
      <c r="B33" s="70" t="s">
        <v>41</v>
      </c>
      <c r="C33" s="71" t="s">
        <v>42</v>
      </c>
      <c r="D33" s="72"/>
      <c r="E33" s="72"/>
      <c r="F33" s="72"/>
      <c r="G33" s="72"/>
      <c r="H33" s="75"/>
      <c r="I33" s="72"/>
      <c r="J33" s="72"/>
      <c r="K33" s="72"/>
      <c r="L33" s="72"/>
      <c r="M33" s="72"/>
      <c r="N33" s="72"/>
      <c r="O33" s="52"/>
      <c r="R33" s="52"/>
    </row>
    <row r="34" spans="1:18" s="56" customFormat="1" ht="12" x14ac:dyDescent="0.2">
      <c r="A34" s="94">
        <v>92265</v>
      </c>
      <c r="B34" s="73" t="s">
        <v>43</v>
      </c>
      <c r="C34" s="74" t="s">
        <v>44</v>
      </c>
      <c r="D34" s="73" t="s">
        <v>14</v>
      </c>
      <c r="E34" s="75">
        <v>142.72</v>
      </c>
      <c r="F34" s="75">
        <v>140</v>
      </c>
      <c r="G34" s="75">
        <f>F34</f>
        <v>140</v>
      </c>
      <c r="H34" s="75">
        <f>ROUND(R34*$R$12,2)</f>
        <v>60.66</v>
      </c>
      <c r="I34" s="75">
        <f>ROUND(H34*(1+$S$1),2)</f>
        <v>77.400000000000006</v>
      </c>
      <c r="J34" s="76">
        <f>ROUND(E34*H34,2)</f>
        <v>8657.4</v>
      </c>
      <c r="K34" s="76">
        <f>ROUND(E34*I34,2)</f>
        <v>11046.53</v>
      </c>
      <c r="L34" s="76">
        <f t="shared" ref="L34:L42" si="0">F34*I34</f>
        <v>10836</v>
      </c>
      <c r="M34" s="76">
        <f t="shared" ref="M34:M42" si="1">G34*I34</f>
        <v>10836</v>
      </c>
      <c r="N34" s="90">
        <f t="shared" ref="N34:N42" si="2">M34/K34</f>
        <v>0.98094152643409283</v>
      </c>
      <c r="O34" s="51"/>
      <c r="R34" s="53">
        <v>60.66</v>
      </c>
    </row>
    <row r="35" spans="1:18" s="56" customFormat="1" ht="12" x14ac:dyDescent="0.2">
      <c r="A35" s="94">
        <v>92762</v>
      </c>
      <c r="B35" s="73" t="s">
        <v>45</v>
      </c>
      <c r="C35" s="74" t="s">
        <v>46</v>
      </c>
      <c r="D35" s="73" t="s">
        <v>35</v>
      </c>
      <c r="E35" s="75">
        <v>884.82</v>
      </c>
      <c r="F35" s="75"/>
      <c r="G35" s="75">
        <f>F35</f>
        <v>0</v>
      </c>
      <c r="H35" s="75">
        <f>ROUND(R35*$R$12,2)</f>
        <v>5.86</v>
      </c>
      <c r="I35" s="75">
        <f>ROUND(H35*(1+$S$1),2)</f>
        <v>7.48</v>
      </c>
      <c r="J35" s="76">
        <f>ROUND(E35*H35,2)</f>
        <v>5185.05</v>
      </c>
      <c r="K35" s="76">
        <f>ROUND(E35*I35,2)</f>
        <v>6618.45</v>
      </c>
      <c r="L35" s="76">
        <f t="shared" si="0"/>
        <v>0</v>
      </c>
      <c r="M35" s="76">
        <f t="shared" si="1"/>
        <v>0</v>
      </c>
      <c r="N35" s="90">
        <f t="shared" si="2"/>
        <v>0</v>
      </c>
      <c r="O35" s="51"/>
      <c r="R35" s="53">
        <v>5.86</v>
      </c>
    </row>
    <row r="36" spans="1:18" s="56" customFormat="1" ht="12" x14ac:dyDescent="0.2">
      <c r="A36" s="94">
        <v>94965</v>
      </c>
      <c r="B36" s="73" t="s">
        <v>47</v>
      </c>
      <c r="C36" s="74" t="s">
        <v>30</v>
      </c>
      <c r="D36" s="73" t="s">
        <v>48</v>
      </c>
      <c r="E36" s="75">
        <v>10.88</v>
      </c>
      <c r="F36" s="75"/>
      <c r="G36" s="75">
        <f>F36</f>
        <v>0</v>
      </c>
      <c r="H36" s="75">
        <f>ROUND(R36*$R$12,2)</f>
        <v>302.64</v>
      </c>
      <c r="I36" s="75">
        <f>ROUND(H36*(1+$S$1),2)</f>
        <v>386.14</v>
      </c>
      <c r="J36" s="76">
        <f>ROUND(E36*H36,2)</f>
        <v>3292.72</v>
      </c>
      <c r="K36" s="76">
        <f>ROUND(E36*I36,2)</f>
        <v>4201.2</v>
      </c>
      <c r="L36" s="76">
        <f t="shared" si="0"/>
        <v>0</v>
      </c>
      <c r="M36" s="76">
        <f t="shared" si="1"/>
        <v>0</v>
      </c>
      <c r="N36" s="90">
        <f t="shared" si="2"/>
        <v>0</v>
      </c>
      <c r="O36" s="51"/>
      <c r="R36" s="53">
        <v>302.64</v>
      </c>
    </row>
    <row r="37" spans="1:18" s="56" customFormat="1" ht="24" x14ac:dyDescent="0.2">
      <c r="A37" s="94">
        <v>92873</v>
      </c>
      <c r="B37" s="73" t="s">
        <v>49</v>
      </c>
      <c r="C37" s="74" t="s">
        <v>32</v>
      </c>
      <c r="D37" s="73" t="s">
        <v>48</v>
      </c>
      <c r="E37" s="75">
        <v>10.88</v>
      </c>
      <c r="F37" s="75"/>
      <c r="G37" s="75">
        <f>F37</f>
        <v>0</v>
      </c>
      <c r="H37" s="75">
        <f>ROUND(R37*$R$12,2)</f>
        <v>135.94</v>
      </c>
      <c r="I37" s="75">
        <f>ROUND(H37*(1+$S$1),2)</f>
        <v>173.45</v>
      </c>
      <c r="J37" s="76">
        <f>ROUND(E37*H37,2)</f>
        <v>1479.03</v>
      </c>
      <c r="K37" s="76">
        <f>ROUND(E37*I37,2)</f>
        <v>1887.14</v>
      </c>
      <c r="L37" s="76">
        <f t="shared" si="0"/>
        <v>0</v>
      </c>
      <c r="M37" s="76">
        <f t="shared" si="1"/>
        <v>0</v>
      </c>
      <c r="N37" s="90">
        <f t="shared" si="2"/>
        <v>0</v>
      </c>
      <c r="O37" s="51"/>
      <c r="R37" s="53">
        <v>135.94</v>
      </c>
    </row>
    <row r="38" spans="1:18" s="56" customFormat="1" ht="12" x14ac:dyDescent="0.2">
      <c r="A38" s="72"/>
      <c r="B38" s="70" t="s">
        <v>50</v>
      </c>
      <c r="C38" s="71" t="s">
        <v>51</v>
      </c>
      <c r="D38" s="72"/>
      <c r="E38" s="72"/>
      <c r="F38" s="72"/>
      <c r="G38" s="72"/>
      <c r="H38" s="75"/>
      <c r="I38" s="72"/>
      <c r="J38" s="72"/>
      <c r="K38" s="72"/>
      <c r="L38" s="72"/>
      <c r="M38" s="72"/>
      <c r="N38" s="72"/>
      <c r="O38" s="52"/>
      <c r="R38" s="52"/>
    </row>
    <row r="39" spans="1:18" s="56" customFormat="1" ht="12" x14ac:dyDescent="0.2">
      <c r="A39" s="94">
        <v>92265</v>
      </c>
      <c r="B39" s="73" t="s">
        <v>52</v>
      </c>
      <c r="C39" s="74" t="s">
        <v>44</v>
      </c>
      <c r="D39" s="73" t="s">
        <v>14</v>
      </c>
      <c r="E39" s="75">
        <v>721.28</v>
      </c>
      <c r="F39" s="75">
        <v>192</v>
      </c>
      <c r="G39" s="75">
        <f>F39</f>
        <v>192</v>
      </c>
      <c r="H39" s="75">
        <f>ROUND(R39*$R$12,2)</f>
        <v>60.66</v>
      </c>
      <c r="I39" s="75">
        <f>ROUND(H39*(1+$S$1),2)</f>
        <v>77.400000000000006</v>
      </c>
      <c r="J39" s="76">
        <f>ROUND(E39*H39,2)</f>
        <v>43752.84</v>
      </c>
      <c r="K39" s="76">
        <f>ROUND(E39*I39,2)</f>
        <v>55827.07</v>
      </c>
      <c r="L39" s="76">
        <f t="shared" si="0"/>
        <v>14860.800000000001</v>
      </c>
      <c r="M39" s="76">
        <f t="shared" si="1"/>
        <v>14860.800000000001</v>
      </c>
      <c r="N39" s="90">
        <f t="shared" si="2"/>
        <v>0.26619344343165424</v>
      </c>
      <c r="O39" s="51"/>
      <c r="R39" s="53">
        <v>60.66</v>
      </c>
    </row>
    <row r="40" spans="1:18" s="56" customFormat="1" ht="12" x14ac:dyDescent="0.2">
      <c r="A40" s="94">
        <v>92762</v>
      </c>
      <c r="B40" s="73" t="s">
        <v>53</v>
      </c>
      <c r="C40" s="74" t="s">
        <v>46</v>
      </c>
      <c r="D40" s="73" t="s">
        <v>35</v>
      </c>
      <c r="E40" s="76">
        <v>2439.4499999999998</v>
      </c>
      <c r="F40" s="76"/>
      <c r="G40" s="75">
        <f>F40</f>
        <v>0</v>
      </c>
      <c r="H40" s="75">
        <f>ROUND(R40*$R$12,2)</f>
        <v>5.86</v>
      </c>
      <c r="I40" s="75">
        <f>ROUND(H40*(1+$S$1),2)</f>
        <v>7.48</v>
      </c>
      <c r="J40" s="76">
        <f>ROUND(E40*H40,2)</f>
        <v>14295.18</v>
      </c>
      <c r="K40" s="76">
        <f>ROUND(E40*I40,2)</f>
        <v>18247.09</v>
      </c>
      <c r="L40" s="76">
        <f t="shared" si="0"/>
        <v>0</v>
      </c>
      <c r="M40" s="76">
        <f t="shared" si="1"/>
        <v>0</v>
      </c>
      <c r="N40" s="90">
        <f t="shared" si="2"/>
        <v>0</v>
      </c>
      <c r="O40" s="51"/>
      <c r="R40" s="53">
        <v>5.86</v>
      </c>
    </row>
    <row r="41" spans="1:18" s="56" customFormat="1" ht="12" x14ac:dyDescent="0.2">
      <c r="A41" s="94">
        <v>94965</v>
      </c>
      <c r="B41" s="73" t="s">
        <v>54</v>
      </c>
      <c r="C41" s="74" t="s">
        <v>30</v>
      </c>
      <c r="D41" s="73" t="s">
        <v>48</v>
      </c>
      <c r="E41" s="75">
        <v>45.07</v>
      </c>
      <c r="F41" s="75"/>
      <c r="G41" s="75">
        <f>F41</f>
        <v>0</v>
      </c>
      <c r="H41" s="75">
        <f>ROUND(R41*$R$12,2)</f>
        <v>302.64</v>
      </c>
      <c r="I41" s="75">
        <f>ROUND(H41*(1+$S$1),2)</f>
        <v>386.14</v>
      </c>
      <c r="J41" s="76">
        <f>ROUND(E41*H41,2)</f>
        <v>13639.98</v>
      </c>
      <c r="K41" s="76">
        <f>ROUND(E41*I41,2)</f>
        <v>17403.330000000002</v>
      </c>
      <c r="L41" s="76">
        <f t="shared" si="0"/>
        <v>0</v>
      </c>
      <c r="M41" s="76">
        <f t="shared" si="1"/>
        <v>0</v>
      </c>
      <c r="N41" s="90">
        <f t="shared" si="2"/>
        <v>0</v>
      </c>
      <c r="O41" s="51"/>
      <c r="R41" s="53">
        <v>302.64</v>
      </c>
    </row>
    <row r="42" spans="1:18" s="56" customFormat="1" ht="24" x14ac:dyDescent="0.2">
      <c r="A42" s="94">
        <v>92873</v>
      </c>
      <c r="B42" s="73" t="s">
        <v>55</v>
      </c>
      <c r="C42" s="74" t="s">
        <v>32</v>
      </c>
      <c r="D42" s="73" t="s">
        <v>48</v>
      </c>
      <c r="E42" s="75">
        <v>45.07</v>
      </c>
      <c r="F42" s="75"/>
      <c r="G42" s="75">
        <f>F42</f>
        <v>0</v>
      </c>
      <c r="H42" s="75">
        <f>ROUND(R42*$R$12,2)</f>
        <v>135.94</v>
      </c>
      <c r="I42" s="75">
        <f>ROUND(H42*(1+$S$1),2)</f>
        <v>173.45</v>
      </c>
      <c r="J42" s="76">
        <f>ROUND(E42*H42,2)</f>
        <v>6126.82</v>
      </c>
      <c r="K42" s="76">
        <f>ROUND(E42*I42,2)</f>
        <v>7817.39</v>
      </c>
      <c r="L42" s="76">
        <f t="shared" si="0"/>
        <v>0</v>
      </c>
      <c r="M42" s="76">
        <f t="shared" si="1"/>
        <v>0</v>
      </c>
      <c r="N42" s="90">
        <f t="shared" si="2"/>
        <v>0</v>
      </c>
      <c r="O42" s="51"/>
      <c r="R42" s="53">
        <v>135.94</v>
      </c>
    </row>
    <row r="43" spans="1:18" s="56" customFormat="1" ht="12" x14ac:dyDescent="0.2">
      <c r="A43" s="72"/>
      <c r="B43" s="70" t="s">
        <v>56</v>
      </c>
      <c r="C43" s="71" t="s">
        <v>57</v>
      </c>
      <c r="D43" s="72"/>
      <c r="E43" s="72"/>
      <c r="F43" s="72"/>
      <c r="G43" s="72"/>
      <c r="H43" s="75"/>
      <c r="I43" s="72"/>
      <c r="J43" s="72"/>
      <c r="K43" s="72"/>
      <c r="L43" s="72"/>
      <c r="M43" s="72"/>
      <c r="N43" s="72"/>
      <c r="O43" s="52"/>
      <c r="R43" s="52"/>
    </row>
    <row r="44" spans="1:18" s="56" customFormat="1" ht="24" x14ac:dyDescent="0.2">
      <c r="A44" s="73" t="s">
        <v>58</v>
      </c>
      <c r="B44" s="73" t="s">
        <v>59</v>
      </c>
      <c r="C44" s="74" t="s">
        <v>60</v>
      </c>
      <c r="D44" s="73" t="s">
        <v>14</v>
      </c>
      <c r="E44" s="76">
        <v>1036</v>
      </c>
      <c r="F44" s="76"/>
      <c r="G44" s="76"/>
      <c r="H44" s="75">
        <f>ROUND(R44*$R$12,2)</f>
        <v>62.75</v>
      </c>
      <c r="I44" s="75">
        <f>ROUND(H44*(1+$S$1),2)</f>
        <v>80.06</v>
      </c>
      <c r="J44" s="76">
        <f>ROUND(E44*H44,2)</f>
        <v>65009</v>
      </c>
      <c r="K44" s="76">
        <f>ROUND(E44*I44,2)</f>
        <v>82942.16</v>
      </c>
      <c r="L44" s="76"/>
      <c r="M44" s="76"/>
      <c r="N44" s="76"/>
      <c r="O44" s="51"/>
      <c r="R44" s="53">
        <v>62.75</v>
      </c>
    </row>
    <row r="45" spans="1:18" s="56" customFormat="1" ht="12" x14ac:dyDescent="0.2">
      <c r="A45" s="94">
        <v>92763</v>
      </c>
      <c r="B45" s="73" t="s">
        <v>61</v>
      </c>
      <c r="C45" s="74" t="s">
        <v>62</v>
      </c>
      <c r="D45" s="73" t="s">
        <v>35</v>
      </c>
      <c r="E45" s="76">
        <v>3423</v>
      </c>
      <c r="F45" s="76"/>
      <c r="G45" s="76"/>
      <c r="H45" s="75">
        <f>ROUND(R45*$R$12,2)</f>
        <v>5.22</v>
      </c>
      <c r="I45" s="75">
        <f>ROUND(H45*(1+$S$1),2)</f>
        <v>6.66</v>
      </c>
      <c r="J45" s="76">
        <f>ROUND(E45*H45,2)</f>
        <v>17868.060000000001</v>
      </c>
      <c r="K45" s="76">
        <f>ROUND(E45*I45,2)</f>
        <v>22797.18</v>
      </c>
      <c r="L45" s="76"/>
      <c r="M45" s="76"/>
      <c r="N45" s="76"/>
      <c r="O45" s="51"/>
      <c r="R45" s="53">
        <v>5.22</v>
      </c>
    </row>
    <row r="46" spans="1:18" s="56" customFormat="1" ht="12" x14ac:dyDescent="0.2">
      <c r="A46" s="94">
        <v>94965</v>
      </c>
      <c r="B46" s="73" t="s">
        <v>63</v>
      </c>
      <c r="C46" s="74" t="s">
        <v>30</v>
      </c>
      <c r="D46" s="73" t="s">
        <v>48</v>
      </c>
      <c r="E46" s="75">
        <v>47.9</v>
      </c>
      <c r="F46" s="75"/>
      <c r="G46" s="75"/>
      <c r="H46" s="75">
        <f>ROUND(R46*$R$12,2)</f>
        <v>302.64</v>
      </c>
      <c r="I46" s="75">
        <f>ROUND(H46*(1+$S$1),2)</f>
        <v>386.14</v>
      </c>
      <c r="J46" s="76">
        <f>ROUND(E46*H46,2)</f>
        <v>14496.46</v>
      </c>
      <c r="K46" s="76">
        <f>ROUND(E46*I46,2)</f>
        <v>18496.11</v>
      </c>
      <c r="L46" s="76"/>
      <c r="M46" s="76"/>
      <c r="N46" s="76"/>
      <c r="O46" s="51"/>
      <c r="R46" s="53">
        <v>302.64</v>
      </c>
    </row>
    <row r="47" spans="1:18" s="56" customFormat="1" ht="24" x14ac:dyDescent="0.2">
      <c r="A47" s="94">
        <v>92873</v>
      </c>
      <c r="B47" s="73" t="s">
        <v>64</v>
      </c>
      <c r="C47" s="74" t="s">
        <v>32</v>
      </c>
      <c r="D47" s="73" t="s">
        <v>48</v>
      </c>
      <c r="E47" s="75">
        <v>47.9</v>
      </c>
      <c r="F47" s="75"/>
      <c r="G47" s="75"/>
      <c r="H47" s="75">
        <f>ROUND(R47*$R$12,2)</f>
        <v>135.94</v>
      </c>
      <c r="I47" s="75">
        <f>ROUND(H47*(1+$S$1),2)</f>
        <v>173.45</v>
      </c>
      <c r="J47" s="76">
        <f>ROUND(E47*H47,2)</f>
        <v>6511.53</v>
      </c>
      <c r="K47" s="76">
        <f>ROUND(E47*I47,2)</f>
        <v>8308.26</v>
      </c>
      <c r="L47" s="76"/>
      <c r="M47" s="76"/>
      <c r="N47" s="76"/>
      <c r="O47" s="51"/>
      <c r="R47" s="53">
        <v>135.94</v>
      </c>
    </row>
    <row r="48" spans="1:18" s="56" customFormat="1" ht="12" x14ac:dyDescent="0.2">
      <c r="A48" s="72"/>
      <c r="B48" s="70" t="s">
        <v>65</v>
      </c>
      <c r="C48" s="71" t="s">
        <v>66</v>
      </c>
      <c r="D48" s="72"/>
      <c r="E48" s="72"/>
      <c r="F48" s="72"/>
      <c r="G48" s="72"/>
      <c r="H48" s="75"/>
      <c r="I48" s="72"/>
      <c r="J48" s="72"/>
      <c r="K48" s="72"/>
      <c r="L48" s="72"/>
      <c r="M48" s="72"/>
      <c r="N48" s="72"/>
      <c r="O48" s="52"/>
      <c r="R48" s="52"/>
    </row>
    <row r="49" spans="1:18" s="56" customFormat="1" ht="12" x14ac:dyDescent="0.2">
      <c r="A49" s="94">
        <v>92265</v>
      </c>
      <c r="B49" s="73" t="s">
        <v>67</v>
      </c>
      <c r="C49" s="74" t="s">
        <v>44</v>
      </c>
      <c r="D49" s="73" t="s">
        <v>14</v>
      </c>
      <c r="E49" s="75">
        <v>370.9</v>
      </c>
      <c r="F49" s="75"/>
      <c r="G49" s="75"/>
      <c r="H49" s="75">
        <f>ROUND(R49*$R$12,2)</f>
        <v>60.66</v>
      </c>
      <c r="I49" s="75">
        <f>ROUND(H49*(1+$S$1),2)</f>
        <v>77.400000000000006</v>
      </c>
      <c r="J49" s="76">
        <f>ROUND(E49*H49,2)</f>
        <v>22498.79</v>
      </c>
      <c r="K49" s="76">
        <f>ROUND(E49*I49,2)</f>
        <v>28707.66</v>
      </c>
      <c r="L49" s="76"/>
      <c r="M49" s="76"/>
      <c r="N49" s="76"/>
      <c r="O49" s="51"/>
      <c r="R49" s="53">
        <v>60.66</v>
      </c>
    </row>
    <row r="50" spans="1:18" s="56" customFormat="1" ht="12" x14ac:dyDescent="0.2">
      <c r="A50" s="94">
        <v>92762</v>
      </c>
      <c r="B50" s="73" t="s">
        <v>68</v>
      </c>
      <c r="C50" s="74" t="s">
        <v>46</v>
      </c>
      <c r="D50" s="73" t="s">
        <v>35</v>
      </c>
      <c r="E50" s="76">
        <v>6724.2</v>
      </c>
      <c r="F50" s="76"/>
      <c r="G50" s="76"/>
      <c r="H50" s="75">
        <f>ROUND(R50*$R$12,2)</f>
        <v>5.86</v>
      </c>
      <c r="I50" s="75">
        <f>ROUND(H50*(1+$S$1),2)</f>
        <v>7.48</v>
      </c>
      <c r="J50" s="76">
        <f>ROUND(E50*H50,2)</f>
        <v>39403.81</v>
      </c>
      <c r="K50" s="76">
        <f>ROUND(E50*I50,2)</f>
        <v>50297.02</v>
      </c>
      <c r="L50" s="76"/>
      <c r="M50" s="76"/>
      <c r="N50" s="76"/>
      <c r="O50" s="51"/>
      <c r="R50" s="53">
        <v>5.86</v>
      </c>
    </row>
    <row r="51" spans="1:18" s="56" customFormat="1" ht="12" x14ac:dyDescent="0.2">
      <c r="A51" s="94">
        <v>94965</v>
      </c>
      <c r="B51" s="73" t="s">
        <v>69</v>
      </c>
      <c r="C51" s="74" t="s">
        <v>30</v>
      </c>
      <c r="D51" s="73" t="s">
        <v>48</v>
      </c>
      <c r="E51" s="75">
        <v>35.9</v>
      </c>
      <c r="F51" s="75"/>
      <c r="G51" s="75"/>
      <c r="H51" s="75">
        <f>ROUND(R51*$R$12,2)</f>
        <v>302.64</v>
      </c>
      <c r="I51" s="75">
        <f>ROUND(H51*(1+$S$1),2)</f>
        <v>386.14</v>
      </c>
      <c r="J51" s="76">
        <f>ROUND(E51*H51,2)</f>
        <v>10864.78</v>
      </c>
      <c r="K51" s="76">
        <f>ROUND(E51*I51,2)</f>
        <v>13862.43</v>
      </c>
      <c r="L51" s="76"/>
      <c r="M51" s="76"/>
      <c r="N51" s="76"/>
      <c r="O51" s="51"/>
      <c r="R51" s="53">
        <v>302.64</v>
      </c>
    </row>
    <row r="52" spans="1:18" s="56" customFormat="1" ht="24" x14ac:dyDescent="0.2">
      <c r="A52" s="94">
        <v>92873</v>
      </c>
      <c r="B52" s="73" t="s">
        <v>70</v>
      </c>
      <c r="C52" s="74" t="s">
        <v>32</v>
      </c>
      <c r="D52" s="73" t="s">
        <v>48</v>
      </c>
      <c r="E52" s="75">
        <v>35.9</v>
      </c>
      <c r="F52" s="75"/>
      <c r="G52" s="75"/>
      <c r="H52" s="75">
        <f>ROUND(R52*$R$12,2)</f>
        <v>135.94</v>
      </c>
      <c r="I52" s="75">
        <f>ROUND(H52*(1+$S$1),2)</f>
        <v>173.45</v>
      </c>
      <c r="J52" s="76">
        <f>ROUND(E52*H52,2)</f>
        <v>4880.25</v>
      </c>
      <c r="K52" s="76">
        <f>ROUND(E52*I52,2)</f>
        <v>6226.86</v>
      </c>
      <c r="L52" s="76"/>
      <c r="M52" s="76"/>
      <c r="N52" s="76"/>
      <c r="O52" s="51"/>
      <c r="R52" s="53">
        <v>135.94</v>
      </c>
    </row>
    <row r="53" spans="1:18" s="56" customFormat="1" ht="12" x14ac:dyDescent="0.2">
      <c r="A53" s="72"/>
      <c r="B53" s="71"/>
      <c r="C53" s="71"/>
      <c r="D53" s="71"/>
      <c r="E53" s="71"/>
      <c r="F53" s="71"/>
      <c r="G53" s="71"/>
      <c r="H53" s="75"/>
      <c r="I53" s="77" t="s">
        <v>71</v>
      </c>
      <c r="J53" s="78">
        <f>SUM(J34:J52)</f>
        <v>277961.7</v>
      </c>
      <c r="K53" s="78">
        <f>SUM(K34:K52)</f>
        <v>354685.87999999995</v>
      </c>
      <c r="L53" s="78">
        <f>SUM(L34:L52)</f>
        <v>25696.800000000003</v>
      </c>
      <c r="M53" s="78">
        <f>SUM(M34:M52)</f>
        <v>25696.800000000003</v>
      </c>
      <c r="N53" s="91">
        <f>M53/K53</f>
        <v>7.2449458659025301E-2</v>
      </c>
      <c r="O53" s="60"/>
      <c r="P53" s="58"/>
      <c r="R53" s="59"/>
    </row>
    <row r="54" spans="1:18" s="56" customFormat="1" ht="12" x14ac:dyDescent="0.2">
      <c r="A54" s="72"/>
      <c r="B54" s="70" t="s">
        <v>72</v>
      </c>
      <c r="C54" s="71" t="s">
        <v>73</v>
      </c>
      <c r="D54" s="72"/>
      <c r="E54" s="72"/>
      <c r="F54" s="72"/>
      <c r="G54" s="72"/>
      <c r="H54" s="75"/>
      <c r="I54" s="72"/>
      <c r="J54" s="72"/>
      <c r="K54" s="72"/>
      <c r="L54" s="72"/>
      <c r="M54" s="72"/>
      <c r="N54" s="72"/>
      <c r="O54" s="52"/>
      <c r="R54" s="52"/>
    </row>
    <row r="55" spans="1:18" s="56" customFormat="1" ht="12" x14ac:dyDescent="0.2">
      <c r="A55" s="72"/>
      <c r="B55" s="73" t="s">
        <v>74</v>
      </c>
      <c r="C55" s="71" t="s">
        <v>75</v>
      </c>
      <c r="D55" s="72"/>
      <c r="E55" s="72"/>
      <c r="F55" s="72"/>
      <c r="G55" s="72"/>
      <c r="H55" s="75"/>
      <c r="I55" s="72"/>
      <c r="J55" s="72"/>
      <c r="K55" s="72"/>
      <c r="L55" s="72"/>
      <c r="M55" s="72"/>
      <c r="N55" s="72"/>
      <c r="O55" s="52"/>
      <c r="R55" s="52"/>
    </row>
    <row r="56" spans="1:18" s="56" customFormat="1" ht="12" x14ac:dyDescent="0.2">
      <c r="A56" s="94">
        <v>87479</v>
      </c>
      <c r="B56" s="73" t="s">
        <v>76</v>
      </c>
      <c r="C56" s="74" t="s">
        <v>77</v>
      </c>
      <c r="D56" s="73" t="s">
        <v>14</v>
      </c>
      <c r="E56" s="75">
        <v>153.47</v>
      </c>
      <c r="F56" s="75">
        <v>153.47</v>
      </c>
      <c r="G56" s="75">
        <f t="shared" ref="G56:G62" si="3">F56</f>
        <v>153.47</v>
      </c>
      <c r="H56" s="75">
        <f t="shared" ref="H56:H62" si="4">ROUND(R56*$R$12,2)</f>
        <v>41.64</v>
      </c>
      <c r="I56" s="75">
        <f t="shared" ref="I56:I62" si="5">ROUND(H56*(1+$S$1),2)</f>
        <v>53.13</v>
      </c>
      <c r="J56" s="76">
        <f t="shared" ref="J56:J62" si="6">ROUND(E56*H56,2)</f>
        <v>6390.49</v>
      </c>
      <c r="K56" s="76">
        <f t="shared" ref="K56:K62" si="7">ROUND(E56*I56,2)</f>
        <v>8153.86</v>
      </c>
      <c r="L56" s="76">
        <f t="shared" ref="L56:L62" si="8">F56*I56</f>
        <v>8153.8611000000001</v>
      </c>
      <c r="M56" s="76">
        <f t="shared" ref="M56:M62" si="9">G56*I56</f>
        <v>8153.8611000000001</v>
      </c>
      <c r="N56" s="90">
        <f t="shared" ref="N56:N63" si="10">M56/K56</f>
        <v>1.0000001349054313</v>
      </c>
      <c r="O56" s="51"/>
      <c r="R56" s="53">
        <v>41.64</v>
      </c>
    </row>
    <row r="57" spans="1:18" s="56" customFormat="1" ht="12" x14ac:dyDescent="0.2">
      <c r="A57" s="73" t="s">
        <v>78</v>
      </c>
      <c r="B57" s="73" t="s">
        <v>79</v>
      </c>
      <c r="C57" s="74" t="s">
        <v>80</v>
      </c>
      <c r="D57" s="73" t="s">
        <v>81</v>
      </c>
      <c r="E57" s="75">
        <v>32.5</v>
      </c>
      <c r="F57" s="75">
        <v>32.5</v>
      </c>
      <c r="G57" s="75">
        <f t="shared" si="3"/>
        <v>32.5</v>
      </c>
      <c r="H57" s="75">
        <f t="shared" si="4"/>
        <v>7.91</v>
      </c>
      <c r="I57" s="75">
        <f t="shared" si="5"/>
        <v>10.09</v>
      </c>
      <c r="J57" s="76">
        <f t="shared" si="6"/>
        <v>257.08</v>
      </c>
      <c r="K57" s="76">
        <f t="shared" si="7"/>
        <v>327.93</v>
      </c>
      <c r="L57" s="76">
        <f t="shared" si="8"/>
        <v>327.92500000000001</v>
      </c>
      <c r="M57" s="76">
        <f t="shared" si="9"/>
        <v>327.92500000000001</v>
      </c>
      <c r="N57" s="90">
        <f t="shared" si="10"/>
        <v>0.99998475284359467</v>
      </c>
      <c r="O57" s="51"/>
      <c r="R57" s="53">
        <v>7.91</v>
      </c>
    </row>
    <row r="58" spans="1:18" s="56" customFormat="1" ht="24" x14ac:dyDescent="0.2">
      <c r="A58" s="73" t="s">
        <v>82</v>
      </c>
      <c r="B58" s="73" t="s">
        <v>83</v>
      </c>
      <c r="C58" s="74" t="s">
        <v>84</v>
      </c>
      <c r="D58" s="73" t="s">
        <v>14</v>
      </c>
      <c r="E58" s="75">
        <v>27.15</v>
      </c>
      <c r="F58" s="75"/>
      <c r="G58" s="75">
        <f t="shared" si="3"/>
        <v>0</v>
      </c>
      <c r="H58" s="75">
        <f t="shared" si="4"/>
        <v>53.52</v>
      </c>
      <c r="I58" s="75">
        <f t="shared" si="5"/>
        <v>68.290000000000006</v>
      </c>
      <c r="J58" s="76">
        <f t="shared" si="6"/>
        <v>1453.07</v>
      </c>
      <c r="K58" s="76">
        <f t="shared" si="7"/>
        <v>1854.07</v>
      </c>
      <c r="L58" s="76">
        <f t="shared" si="8"/>
        <v>0</v>
      </c>
      <c r="M58" s="76">
        <f t="shared" si="9"/>
        <v>0</v>
      </c>
      <c r="N58" s="90">
        <f t="shared" si="10"/>
        <v>0</v>
      </c>
      <c r="O58" s="51"/>
      <c r="R58" s="53">
        <v>53.52</v>
      </c>
    </row>
    <row r="59" spans="1:18" s="56" customFormat="1" ht="24" x14ac:dyDescent="0.2">
      <c r="A59" s="73" t="s">
        <v>85</v>
      </c>
      <c r="B59" s="73" t="s">
        <v>86</v>
      </c>
      <c r="C59" s="74" t="s">
        <v>87</v>
      </c>
      <c r="D59" s="73" t="s">
        <v>14</v>
      </c>
      <c r="E59" s="75">
        <v>45.99</v>
      </c>
      <c r="F59" s="75"/>
      <c r="G59" s="75">
        <f t="shared" si="3"/>
        <v>0</v>
      </c>
      <c r="H59" s="75">
        <f t="shared" si="4"/>
        <v>203.72</v>
      </c>
      <c r="I59" s="75">
        <f t="shared" si="5"/>
        <v>259.93</v>
      </c>
      <c r="J59" s="76">
        <f t="shared" si="6"/>
        <v>9369.08</v>
      </c>
      <c r="K59" s="76">
        <f t="shared" si="7"/>
        <v>11954.18</v>
      </c>
      <c r="L59" s="76">
        <f t="shared" si="8"/>
        <v>0</v>
      </c>
      <c r="M59" s="76">
        <f t="shared" si="9"/>
        <v>0</v>
      </c>
      <c r="N59" s="90">
        <f t="shared" si="10"/>
        <v>0</v>
      </c>
      <c r="O59" s="51"/>
      <c r="R59" s="53">
        <v>203.72</v>
      </c>
    </row>
    <row r="60" spans="1:18" s="56" customFormat="1" ht="24" x14ac:dyDescent="0.2">
      <c r="A60" s="73" t="s">
        <v>88</v>
      </c>
      <c r="B60" s="73" t="s">
        <v>89</v>
      </c>
      <c r="C60" s="74" t="s">
        <v>90</v>
      </c>
      <c r="D60" s="73" t="s">
        <v>14</v>
      </c>
      <c r="E60" s="75">
        <v>52.74</v>
      </c>
      <c r="F60" s="75"/>
      <c r="G60" s="75">
        <f t="shared" si="3"/>
        <v>0</v>
      </c>
      <c r="H60" s="75">
        <f t="shared" si="4"/>
        <v>310.44</v>
      </c>
      <c r="I60" s="75">
        <f t="shared" si="5"/>
        <v>396.09</v>
      </c>
      <c r="J60" s="76">
        <f t="shared" si="6"/>
        <v>16372.61</v>
      </c>
      <c r="K60" s="76">
        <f t="shared" si="7"/>
        <v>20889.79</v>
      </c>
      <c r="L60" s="76">
        <f t="shared" si="8"/>
        <v>0</v>
      </c>
      <c r="M60" s="76">
        <f t="shared" si="9"/>
        <v>0</v>
      </c>
      <c r="N60" s="90">
        <f t="shared" si="10"/>
        <v>0</v>
      </c>
      <c r="O60" s="51"/>
      <c r="R60" s="53">
        <v>310.44</v>
      </c>
    </row>
    <row r="61" spans="1:18" s="56" customFormat="1" ht="12" x14ac:dyDescent="0.2">
      <c r="A61" s="94">
        <v>93187</v>
      </c>
      <c r="B61" s="73" t="s">
        <v>91</v>
      </c>
      <c r="C61" s="74" t="s">
        <v>92</v>
      </c>
      <c r="D61" s="73" t="s">
        <v>81</v>
      </c>
      <c r="E61" s="75">
        <v>228</v>
      </c>
      <c r="F61" s="75">
        <v>15.7</v>
      </c>
      <c r="G61" s="75">
        <f t="shared" si="3"/>
        <v>15.7</v>
      </c>
      <c r="H61" s="75">
        <f t="shared" si="4"/>
        <v>52.6</v>
      </c>
      <c r="I61" s="75">
        <f t="shared" si="5"/>
        <v>67.11</v>
      </c>
      <c r="J61" s="76">
        <f t="shared" si="6"/>
        <v>11992.8</v>
      </c>
      <c r="K61" s="76">
        <f t="shared" si="7"/>
        <v>15301.08</v>
      </c>
      <c r="L61" s="76">
        <f t="shared" si="8"/>
        <v>1053.627</v>
      </c>
      <c r="M61" s="76">
        <f t="shared" si="9"/>
        <v>1053.627</v>
      </c>
      <c r="N61" s="90">
        <f t="shared" si="10"/>
        <v>6.885964912280701E-2</v>
      </c>
      <c r="O61" s="51"/>
      <c r="R61" s="53">
        <v>52.6</v>
      </c>
    </row>
    <row r="62" spans="1:18" s="56" customFormat="1" ht="12" x14ac:dyDescent="0.2">
      <c r="A62" s="94">
        <v>93197</v>
      </c>
      <c r="B62" s="73" t="s">
        <v>93</v>
      </c>
      <c r="C62" s="74" t="s">
        <v>94</v>
      </c>
      <c r="D62" s="73" t="s">
        <v>81</v>
      </c>
      <c r="E62" s="75">
        <v>101.36</v>
      </c>
      <c r="F62" s="75">
        <v>50.17</v>
      </c>
      <c r="G62" s="75">
        <f t="shared" si="3"/>
        <v>50.17</v>
      </c>
      <c r="H62" s="75">
        <f t="shared" si="4"/>
        <v>49.48</v>
      </c>
      <c r="I62" s="75">
        <f t="shared" si="5"/>
        <v>63.13</v>
      </c>
      <c r="J62" s="76">
        <f t="shared" si="6"/>
        <v>5015.29</v>
      </c>
      <c r="K62" s="76">
        <f t="shared" si="7"/>
        <v>6398.86</v>
      </c>
      <c r="L62" s="76">
        <f t="shared" si="8"/>
        <v>3167.2321000000002</v>
      </c>
      <c r="M62" s="76">
        <f t="shared" si="9"/>
        <v>3167.2321000000002</v>
      </c>
      <c r="N62" s="90">
        <f t="shared" si="10"/>
        <v>0.49496818183238894</v>
      </c>
      <c r="O62" s="51"/>
      <c r="R62" s="53">
        <v>49.48</v>
      </c>
    </row>
    <row r="63" spans="1:18" s="56" customFormat="1" ht="12" x14ac:dyDescent="0.2">
      <c r="A63" s="72"/>
      <c r="B63" s="71"/>
      <c r="C63" s="71"/>
      <c r="D63" s="71"/>
      <c r="E63" s="71"/>
      <c r="F63" s="71"/>
      <c r="G63" s="71"/>
      <c r="H63" s="75"/>
      <c r="I63" s="77" t="s">
        <v>95</v>
      </c>
      <c r="J63" s="78">
        <f>SUM(J56:J62)</f>
        <v>50850.420000000006</v>
      </c>
      <c r="K63" s="78">
        <f>SUM(K56:K62)</f>
        <v>64879.770000000004</v>
      </c>
      <c r="L63" s="78">
        <f>SUM(L44:L62)</f>
        <v>38399.445200000009</v>
      </c>
      <c r="M63" s="78">
        <f>SUM(M44:M62)</f>
        <v>38399.445200000009</v>
      </c>
      <c r="N63" s="91">
        <f t="shared" si="10"/>
        <v>0.59185544585007022</v>
      </c>
      <c r="O63" s="60"/>
      <c r="R63" s="59"/>
    </row>
    <row r="64" spans="1:18" s="56" customFormat="1" ht="12" x14ac:dyDescent="0.2">
      <c r="A64" s="72"/>
      <c r="B64" s="70" t="s">
        <v>96</v>
      </c>
      <c r="C64" s="71" t="s">
        <v>97</v>
      </c>
      <c r="D64" s="72"/>
      <c r="E64" s="72"/>
      <c r="F64" s="72"/>
      <c r="G64" s="72"/>
      <c r="H64" s="75"/>
      <c r="I64" s="72"/>
      <c r="J64" s="72"/>
      <c r="K64" s="72"/>
      <c r="L64" s="72"/>
      <c r="M64" s="72"/>
      <c r="N64" s="72"/>
      <c r="O64" s="52"/>
      <c r="R64" s="52"/>
    </row>
    <row r="65" spans="1:18" s="56" customFormat="1" ht="12" x14ac:dyDescent="0.2">
      <c r="A65" s="72"/>
      <c r="B65" s="73" t="s">
        <v>98</v>
      </c>
      <c r="C65" s="71" t="s">
        <v>99</v>
      </c>
      <c r="D65" s="72"/>
      <c r="E65" s="72"/>
      <c r="F65" s="72"/>
      <c r="G65" s="72"/>
      <c r="H65" s="75"/>
      <c r="I65" s="72"/>
      <c r="J65" s="72"/>
      <c r="K65" s="72"/>
      <c r="L65" s="72"/>
      <c r="M65" s="72"/>
      <c r="N65" s="72"/>
      <c r="O65" s="52"/>
      <c r="R65" s="52"/>
    </row>
    <row r="66" spans="1:18" s="56" customFormat="1" ht="12" x14ac:dyDescent="0.2">
      <c r="A66" s="94">
        <v>90822</v>
      </c>
      <c r="B66" s="73" t="s">
        <v>100</v>
      </c>
      <c r="C66" s="74" t="s">
        <v>101</v>
      </c>
      <c r="D66" s="73" t="s">
        <v>102</v>
      </c>
      <c r="E66" s="75">
        <v>14</v>
      </c>
      <c r="F66" s="75"/>
      <c r="G66" s="75"/>
      <c r="H66" s="75">
        <f t="shared" ref="H66:H72" si="11">ROUND(R66*$R$12,2)</f>
        <v>329.55</v>
      </c>
      <c r="I66" s="75">
        <f t="shared" ref="I66:I72" si="12">ROUND(H66*(1+$S$1),2)</f>
        <v>420.47</v>
      </c>
      <c r="J66" s="76">
        <f t="shared" ref="J66:J72" si="13">ROUND(E66*H66,2)</f>
        <v>4613.7</v>
      </c>
      <c r="K66" s="76">
        <f t="shared" ref="K66:K72" si="14">ROUND(E66*I66,2)</f>
        <v>5886.58</v>
      </c>
      <c r="L66" s="76"/>
      <c r="M66" s="76"/>
      <c r="N66" s="76"/>
      <c r="O66" s="51"/>
      <c r="R66" s="53">
        <v>329.55</v>
      </c>
    </row>
    <row r="67" spans="1:18" s="56" customFormat="1" ht="12" x14ac:dyDescent="0.2">
      <c r="A67" s="73" t="s">
        <v>78</v>
      </c>
      <c r="B67" s="73" t="s">
        <v>103</v>
      </c>
      <c r="C67" s="74" t="s">
        <v>104</v>
      </c>
      <c r="D67" s="73" t="s">
        <v>102</v>
      </c>
      <c r="E67" s="75">
        <v>4</v>
      </c>
      <c r="F67" s="75"/>
      <c r="G67" s="75"/>
      <c r="H67" s="75">
        <f t="shared" si="11"/>
        <v>395.46</v>
      </c>
      <c r="I67" s="75">
        <f t="shared" si="12"/>
        <v>504.57</v>
      </c>
      <c r="J67" s="76">
        <f t="shared" si="13"/>
        <v>1581.84</v>
      </c>
      <c r="K67" s="76">
        <f t="shared" si="14"/>
        <v>2018.28</v>
      </c>
      <c r="L67" s="76"/>
      <c r="M67" s="76"/>
      <c r="N67" s="76"/>
      <c r="O67" s="51"/>
      <c r="R67" s="53">
        <v>395.46</v>
      </c>
    </row>
    <row r="68" spans="1:18" s="56" customFormat="1" ht="12" x14ac:dyDescent="0.2">
      <c r="A68" s="73" t="s">
        <v>78</v>
      </c>
      <c r="B68" s="73" t="s">
        <v>105</v>
      </c>
      <c r="C68" s="74" t="s">
        <v>106</v>
      </c>
      <c r="D68" s="73" t="s">
        <v>102</v>
      </c>
      <c r="E68" s="75">
        <v>14</v>
      </c>
      <c r="F68" s="75"/>
      <c r="G68" s="75"/>
      <c r="H68" s="75">
        <f t="shared" si="11"/>
        <v>222.6</v>
      </c>
      <c r="I68" s="75">
        <f t="shared" si="12"/>
        <v>284.02</v>
      </c>
      <c r="J68" s="76">
        <f t="shared" si="13"/>
        <v>3116.4</v>
      </c>
      <c r="K68" s="76">
        <f t="shared" si="14"/>
        <v>3976.28</v>
      </c>
      <c r="L68" s="76"/>
      <c r="M68" s="76"/>
      <c r="N68" s="76"/>
      <c r="O68" s="51"/>
      <c r="R68" s="53">
        <v>222.6</v>
      </c>
    </row>
    <row r="69" spans="1:18" s="56" customFormat="1" ht="24" x14ac:dyDescent="0.2">
      <c r="A69" s="73" t="s">
        <v>78</v>
      </c>
      <c r="B69" s="73" t="s">
        <v>107</v>
      </c>
      <c r="C69" s="74" t="s">
        <v>108</v>
      </c>
      <c r="D69" s="73" t="s">
        <v>102</v>
      </c>
      <c r="E69" s="75">
        <v>6</v>
      </c>
      <c r="F69" s="75"/>
      <c r="G69" s="75"/>
      <c r="H69" s="75">
        <f t="shared" si="11"/>
        <v>222.6</v>
      </c>
      <c r="I69" s="75">
        <f t="shared" si="12"/>
        <v>284.02</v>
      </c>
      <c r="J69" s="76">
        <f t="shared" si="13"/>
        <v>1335.6</v>
      </c>
      <c r="K69" s="76">
        <f t="shared" si="14"/>
        <v>1704.12</v>
      </c>
      <c r="L69" s="76"/>
      <c r="M69" s="76"/>
      <c r="N69" s="76"/>
      <c r="O69" s="51"/>
      <c r="R69" s="53">
        <v>222.6</v>
      </c>
    </row>
    <row r="70" spans="1:18" s="56" customFormat="1" ht="12" x14ac:dyDescent="0.2">
      <c r="A70" s="94">
        <v>90820</v>
      </c>
      <c r="B70" s="73" t="s">
        <v>109</v>
      </c>
      <c r="C70" s="74" t="s">
        <v>110</v>
      </c>
      <c r="D70" s="73" t="s">
        <v>102</v>
      </c>
      <c r="E70" s="75">
        <v>4</v>
      </c>
      <c r="F70" s="75"/>
      <c r="G70" s="75"/>
      <c r="H70" s="75">
        <f t="shared" si="11"/>
        <v>308.93</v>
      </c>
      <c r="I70" s="75">
        <f t="shared" si="12"/>
        <v>394.16</v>
      </c>
      <c r="J70" s="76">
        <f t="shared" si="13"/>
        <v>1235.72</v>
      </c>
      <c r="K70" s="76">
        <f t="shared" si="14"/>
        <v>1576.64</v>
      </c>
      <c r="L70" s="76"/>
      <c r="M70" s="76"/>
      <c r="N70" s="76"/>
      <c r="O70" s="51"/>
      <c r="R70" s="53">
        <v>308.93</v>
      </c>
    </row>
    <row r="71" spans="1:18" s="56" customFormat="1" ht="12" x14ac:dyDescent="0.2">
      <c r="A71" s="73" t="s">
        <v>78</v>
      </c>
      <c r="B71" s="73" t="s">
        <v>111</v>
      </c>
      <c r="C71" s="74" t="s">
        <v>112</v>
      </c>
      <c r="D71" s="73" t="s">
        <v>102</v>
      </c>
      <c r="E71" s="75">
        <v>18</v>
      </c>
      <c r="F71" s="75"/>
      <c r="G71" s="75"/>
      <c r="H71" s="75">
        <f t="shared" si="11"/>
        <v>378.98</v>
      </c>
      <c r="I71" s="75">
        <f t="shared" si="12"/>
        <v>483.54</v>
      </c>
      <c r="J71" s="76">
        <f t="shared" si="13"/>
        <v>6821.64</v>
      </c>
      <c r="K71" s="76">
        <f t="shared" si="14"/>
        <v>8703.7199999999993</v>
      </c>
      <c r="L71" s="76"/>
      <c r="M71" s="76"/>
      <c r="N71" s="76"/>
      <c r="O71" s="51"/>
      <c r="R71" s="53">
        <v>378.98</v>
      </c>
    </row>
    <row r="72" spans="1:18" s="56" customFormat="1" ht="12" x14ac:dyDescent="0.2">
      <c r="A72" s="73" t="s">
        <v>78</v>
      </c>
      <c r="B72" s="73" t="s">
        <v>113</v>
      </c>
      <c r="C72" s="74" t="s">
        <v>114</v>
      </c>
      <c r="D72" s="73" t="s">
        <v>102</v>
      </c>
      <c r="E72" s="75">
        <v>6</v>
      </c>
      <c r="F72" s="75"/>
      <c r="G72" s="75"/>
      <c r="H72" s="75">
        <f t="shared" si="11"/>
        <v>421.82</v>
      </c>
      <c r="I72" s="75">
        <f t="shared" si="12"/>
        <v>538.20000000000005</v>
      </c>
      <c r="J72" s="76">
        <f t="shared" si="13"/>
        <v>2530.92</v>
      </c>
      <c r="K72" s="76">
        <f t="shared" si="14"/>
        <v>3229.2</v>
      </c>
      <c r="L72" s="76"/>
      <c r="M72" s="76"/>
      <c r="N72" s="76"/>
      <c r="O72" s="51"/>
      <c r="R72" s="53">
        <v>421.82</v>
      </c>
    </row>
    <row r="73" spans="1:18" s="56" customFormat="1" ht="12" x14ac:dyDescent="0.2">
      <c r="A73" s="72"/>
      <c r="B73" s="71"/>
      <c r="C73" s="71"/>
      <c r="D73" s="71"/>
      <c r="E73" s="71"/>
      <c r="F73" s="71"/>
      <c r="G73" s="71"/>
      <c r="H73" s="75"/>
      <c r="I73" s="77" t="s">
        <v>115</v>
      </c>
      <c r="J73" s="78">
        <f>SUM(J66:J72)</f>
        <v>21235.82</v>
      </c>
      <c r="K73" s="78">
        <f>SUM(K66:K72)</f>
        <v>27094.819999999996</v>
      </c>
      <c r="L73" s="78"/>
      <c r="M73" s="78"/>
      <c r="N73" s="78"/>
      <c r="O73" s="60"/>
      <c r="R73" s="59"/>
    </row>
    <row r="74" spans="1:18" s="56" customFormat="1" ht="12" x14ac:dyDescent="0.2">
      <c r="A74" s="72"/>
      <c r="B74" s="70" t="s">
        <v>116</v>
      </c>
      <c r="C74" s="71" t="s">
        <v>117</v>
      </c>
      <c r="D74" s="71"/>
      <c r="E74" s="71"/>
      <c r="F74" s="71"/>
      <c r="G74" s="71"/>
      <c r="H74" s="75"/>
      <c r="I74" s="71"/>
      <c r="J74" s="71"/>
      <c r="K74" s="72"/>
      <c r="L74" s="72"/>
      <c r="M74" s="72"/>
      <c r="N74" s="72"/>
      <c r="O74" s="52"/>
      <c r="R74" s="59"/>
    </row>
    <row r="75" spans="1:18" s="56" customFormat="1" ht="12" x14ac:dyDescent="0.2">
      <c r="A75" s="72"/>
      <c r="B75" s="70" t="s">
        <v>118</v>
      </c>
      <c r="C75" s="71" t="s">
        <v>119</v>
      </c>
      <c r="D75" s="72"/>
      <c r="E75" s="72"/>
      <c r="F75" s="72"/>
      <c r="G75" s="72"/>
      <c r="H75" s="75"/>
      <c r="I75" s="72"/>
      <c r="J75" s="72"/>
      <c r="K75" s="72"/>
      <c r="L75" s="72"/>
      <c r="M75" s="72"/>
      <c r="N75" s="72"/>
      <c r="O75" s="52"/>
      <c r="R75" s="52"/>
    </row>
    <row r="76" spans="1:18" s="56" customFormat="1" ht="12" x14ac:dyDescent="0.2">
      <c r="A76" s="73" t="s">
        <v>120</v>
      </c>
      <c r="B76" s="73" t="s">
        <v>121</v>
      </c>
      <c r="C76" s="74" t="s">
        <v>122</v>
      </c>
      <c r="D76" s="73" t="s">
        <v>102</v>
      </c>
      <c r="E76" s="75">
        <v>2</v>
      </c>
      <c r="F76" s="75"/>
      <c r="G76" s="75"/>
      <c r="H76" s="75">
        <f>ROUND(R76*$R$12,2)</f>
        <v>329.82</v>
      </c>
      <c r="I76" s="75">
        <f>ROUND(H76*(1+$S$1),2)</f>
        <v>420.82</v>
      </c>
      <c r="J76" s="76">
        <f>ROUND(E76*H76,2)</f>
        <v>659.64</v>
      </c>
      <c r="K76" s="76">
        <f>ROUND(E76*I76,2)</f>
        <v>841.64</v>
      </c>
      <c r="L76" s="76"/>
      <c r="M76" s="76"/>
      <c r="N76" s="76"/>
      <c r="O76" s="51"/>
      <c r="R76" s="53">
        <v>329.82</v>
      </c>
    </row>
    <row r="77" spans="1:18" s="56" customFormat="1" ht="12" x14ac:dyDescent="0.2">
      <c r="A77" s="72"/>
      <c r="B77" s="70" t="s">
        <v>123</v>
      </c>
      <c r="C77" s="71" t="s">
        <v>124</v>
      </c>
      <c r="D77" s="72"/>
      <c r="E77" s="72"/>
      <c r="F77" s="72"/>
      <c r="G77" s="72"/>
      <c r="H77" s="75"/>
      <c r="I77" s="72"/>
      <c r="J77" s="72"/>
      <c r="K77" s="72"/>
      <c r="L77" s="72"/>
      <c r="M77" s="72"/>
      <c r="N77" s="72"/>
      <c r="O77" s="52"/>
      <c r="R77" s="52"/>
    </row>
    <row r="78" spans="1:18" s="56" customFormat="1" ht="12" x14ac:dyDescent="0.2">
      <c r="A78" s="73" t="s">
        <v>78</v>
      </c>
      <c r="B78" s="73" t="s">
        <v>125</v>
      </c>
      <c r="C78" s="74" t="s">
        <v>126</v>
      </c>
      <c r="D78" s="73" t="s">
        <v>102</v>
      </c>
      <c r="E78" s="75">
        <v>6</v>
      </c>
      <c r="F78" s="75"/>
      <c r="G78" s="75"/>
      <c r="H78" s="75">
        <f t="shared" ref="H78:H97" si="15">ROUND(R78*$R$12,2)</f>
        <v>179.33</v>
      </c>
      <c r="I78" s="75">
        <f t="shared" ref="I78:I97" si="16">ROUND(H78*(1+$S$1),2)</f>
        <v>228.81</v>
      </c>
      <c r="J78" s="76">
        <f t="shared" ref="J78:J97" si="17">ROUND(E78*H78,2)</f>
        <v>1075.98</v>
      </c>
      <c r="K78" s="76">
        <f t="shared" ref="K78:K97" si="18">ROUND(E78*I78,2)</f>
        <v>1372.86</v>
      </c>
      <c r="L78" s="76"/>
      <c r="M78" s="76"/>
      <c r="N78" s="76"/>
      <c r="O78" s="51"/>
      <c r="R78" s="53">
        <v>179.33</v>
      </c>
    </row>
    <row r="79" spans="1:18" s="56" customFormat="1" ht="12" x14ac:dyDescent="0.2">
      <c r="A79" s="73" t="s">
        <v>78</v>
      </c>
      <c r="B79" s="73" t="s">
        <v>127</v>
      </c>
      <c r="C79" s="74" t="s">
        <v>128</v>
      </c>
      <c r="D79" s="73" t="s">
        <v>102</v>
      </c>
      <c r="E79" s="75">
        <v>15</v>
      </c>
      <c r="F79" s="75"/>
      <c r="G79" s="75"/>
      <c r="H79" s="75">
        <f t="shared" si="15"/>
        <v>268.98</v>
      </c>
      <c r="I79" s="75">
        <f t="shared" si="16"/>
        <v>343.19</v>
      </c>
      <c r="J79" s="76">
        <f t="shared" si="17"/>
        <v>4034.7</v>
      </c>
      <c r="K79" s="76">
        <f t="shared" si="18"/>
        <v>5147.8500000000004</v>
      </c>
      <c r="L79" s="76"/>
      <c r="M79" s="76"/>
      <c r="N79" s="76"/>
      <c r="O79" s="51"/>
      <c r="R79" s="53">
        <v>268.98</v>
      </c>
    </row>
    <row r="80" spans="1:18" s="56" customFormat="1" ht="12" x14ac:dyDescent="0.2">
      <c r="A80" s="73" t="s">
        <v>78</v>
      </c>
      <c r="B80" s="73" t="s">
        <v>129</v>
      </c>
      <c r="C80" s="74" t="s">
        <v>130</v>
      </c>
      <c r="D80" s="73" t="s">
        <v>102</v>
      </c>
      <c r="E80" s="75">
        <v>2</v>
      </c>
      <c r="F80" s="75"/>
      <c r="G80" s="75"/>
      <c r="H80" s="75">
        <f t="shared" si="15"/>
        <v>134.49</v>
      </c>
      <c r="I80" s="75">
        <f t="shared" si="16"/>
        <v>171.6</v>
      </c>
      <c r="J80" s="76">
        <f t="shared" si="17"/>
        <v>268.98</v>
      </c>
      <c r="K80" s="76">
        <f t="shared" si="18"/>
        <v>343.2</v>
      </c>
      <c r="L80" s="76"/>
      <c r="M80" s="76"/>
      <c r="N80" s="76"/>
      <c r="O80" s="51"/>
      <c r="R80" s="53">
        <v>134.49</v>
      </c>
    </row>
    <row r="81" spans="1:18" s="56" customFormat="1" ht="12" x14ac:dyDescent="0.2">
      <c r="A81" s="73" t="s">
        <v>78</v>
      </c>
      <c r="B81" s="73" t="s">
        <v>131</v>
      </c>
      <c r="C81" s="74" t="s">
        <v>132</v>
      </c>
      <c r="D81" s="73" t="s">
        <v>102</v>
      </c>
      <c r="E81" s="75">
        <v>10</v>
      </c>
      <c r="F81" s="75"/>
      <c r="G81" s="75"/>
      <c r="H81" s="75">
        <f t="shared" si="15"/>
        <v>313.92</v>
      </c>
      <c r="I81" s="75">
        <f t="shared" si="16"/>
        <v>400.53</v>
      </c>
      <c r="J81" s="76">
        <f t="shared" si="17"/>
        <v>3139.2</v>
      </c>
      <c r="K81" s="76">
        <f t="shared" si="18"/>
        <v>4005.3</v>
      </c>
      <c r="L81" s="76"/>
      <c r="M81" s="76"/>
      <c r="N81" s="76"/>
      <c r="O81" s="51"/>
      <c r="R81" s="53">
        <v>313.92</v>
      </c>
    </row>
    <row r="82" spans="1:18" s="56" customFormat="1" ht="12" x14ac:dyDescent="0.2">
      <c r="A82" s="73" t="s">
        <v>78</v>
      </c>
      <c r="B82" s="73" t="s">
        <v>133</v>
      </c>
      <c r="C82" s="74" t="s">
        <v>134</v>
      </c>
      <c r="D82" s="73" t="s">
        <v>102</v>
      </c>
      <c r="E82" s="75">
        <v>8</v>
      </c>
      <c r="F82" s="75"/>
      <c r="G82" s="75"/>
      <c r="H82" s="75">
        <f t="shared" si="15"/>
        <v>627.62</v>
      </c>
      <c r="I82" s="75">
        <f t="shared" si="16"/>
        <v>800.78</v>
      </c>
      <c r="J82" s="76">
        <f t="shared" si="17"/>
        <v>5020.96</v>
      </c>
      <c r="K82" s="76">
        <f t="shared" si="18"/>
        <v>6406.24</v>
      </c>
      <c r="L82" s="76"/>
      <c r="M82" s="76"/>
      <c r="N82" s="76"/>
      <c r="O82" s="51"/>
      <c r="R82" s="53">
        <v>627.62</v>
      </c>
    </row>
    <row r="83" spans="1:18" s="56" customFormat="1" ht="12" x14ac:dyDescent="0.2">
      <c r="A83" s="73" t="s">
        <v>78</v>
      </c>
      <c r="B83" s="73" t="s">
        <v>135</v>
      </c>
      <c r="C83" s="74" t="s">
        <v>136</v>
      </c>
      <c r="D83" s="73" t="s">
        <v>102</v>
      </c>
      <c r="E83" s="75">
        <v>2</v>
      </c>
      <c r="F83" s="75"/>
      <c r="G83" s="75"/>
      <c r="H83" s="75">
        <f t="shared" si="15"/>
        <v>358.64</v>
      </c>
      <c r="I83" s="75">
        <f t="shared" si="16"/>
        <v>457.59</v>
      </c>
      <c r="J83" s="76">
        <f t="shared" si="17"/>
        <v>717.28</v>
      </c>
      <c r="K83" s="76">
        <f t="shared" si="18"/>
        <v>915.18</v>
      </c>
      <c r="L83" s="76"/>
      <c r="M83" s="76"/>
      <c r="N83" s="76"/>
      <c r="O83" s="51"/>
      <c r="R83" s="53">
        <v>358.64</v>
      </c>
    </row>
    <row r="84" spans="1:18" s="56" customFormat="1" ht="12" x14ac:dyDescent="0.2">
      <c r="A84" s="73" t="s">
        <v>78</v>
      </c>
      <c r="B84" s="73" t="s">
        <v>137</v>
      </c>
      <c r="C84" s="74" t="s">
        <v>138</v>
      </c>
      <c r="D84" s="73" t="s">
        <v>102</v>
      </c>
      <c r="E84" s="75">
        <v>2</v>
      </c>
      <c r="F84" s="75"/>
      <c r="G84" s="75"/>
      <c r="H84" s="75">
        <f t="shared" si="15"/>
        <v>448.3</v>
      </c>
      <c r="I84" s="75">
        <f t="shared" si="16"/>
        <v>571.99</v>
      </c>
      <c r="J84" s="76">
        <f t="shared" si="17"/>
        <v>896.6</v>
      </c>
      <c r="K84" s="76">
        <f t="shared" si="18"/>
        <v>1143.98</v>
      </c>
      <c r="L84" s="76"/>
      <c r="M84" s="76"/>
      <c r="N84" s="76"/>
      <c r="O84" s="51"/>
      <c r="R84" s="53">
        <v>448.3</v>
      </c>
    </row>
    <row r="85" spans="1:18" s="56" customFormat="1" ht="12" x14ac:dyDescent="0.2">
      <c r="A85" s="73" t="s">
        <v>78</v>
      </c>
      <c r="B85" s="73" t="s">
        <v>139</v>
      </c>
      <c r="C85" s="74" t="s">
        <v>140</v>
      </c>
      <c r="D85" s="73" t="s">
        <v>102</v>
      </c>
      <c r="E85" s="75">
        <v>14</v>
      </c>
      <c r="F85" s="75"/>
      <c r="G85" s="75"/>
      <c r="H85" s="75">
        <f t="shared" si="15"/>
        <v>124.52</v>
      </c>
      <c r="I85" s="75">
        <f t="shared" si="16"/>
        <v>158.88</v>
      </c>
      <c r="J85" s="76">
        <f t="shared" si="17"/>
        <v>1743.28</v>
      </c>
      <c r="K85" s="76">
        <f t="shared" si="18"/>
        <v>2224.3200000000002</v>
      </c>
      <c r="L85" s="76"/>
      <c r="M85" s="76"/>
      <c r="N85" s="76"/>
      <c r="O85" s="51"/>
      <c r="R85" s="53">
        <v>124.52</v>
      </c>
    </row>
    <row r="86" spans="1:18" s="56" customFormat="1" ht="12" x14ac:dyDescent="0.2">
      <c r="A86" s="73" t="s">
        <v>78</v>
      </c>
      <c r="B86" s="73" t="s">
        <v>141</v>
      </c>
      <c r="C86" s="74" t="s">
        <v>142</v>
      </c>
      <c r="D86" s="73" t="s">
        <v>102</v>
      </c>
      <c r="E86" s="75">
        <v>1</v>
      </c>
      <c r="F86" s="75"/>
      <c r="G86" s="75"/>
      <c r="H86" s="75">
        <f t="shared" si="15"/>
        <v>390.13</v>
      </c>
      <c r="I86" s="75">
        <f t="shared" si="16"/>
        <v>497.77</v>
      </c>
      <c r="J86" s="76">
        <f t="shared" si="17"/>
        <v>390.13</v>
      </c>
      <c r="K86" s="76">
        <f t="shared" si="18"/>
        <v>497.77</v>
      </c>
      <c r="L86" s="76"/>
      <c r="M86" s="76"/>
      <c r="N86" s="76"/>
      <c r="O86" s="51"/>
      <c r="R86" s="53">
        <v>390.13</v>
      </c>
    </row>
    <row r="87" spans="1:18" s="56" customFormat="1" ht="12" x14ac:dyDescent="0.2">
      <c r="A87" s="73" t="s">
        <v>78</v>
      </c>
      <c r="B87" s="73" t="s">
        <v>143</v>
      </c>
      <c r="C87" s="74" t="s">
        <v>144</v>
      </c>
      <c r="D87" s="73" t="s">
        <v>102</v>
      </c>
      <c r="E87" s="75">
        <v>1</v>
      </c>
      <c r="F87" s="75"/>
      <c r="G87" s="75"/>
      <c r="H87" s="75">
        <f t="shared" si="15"/>
        <v>975.33</v>
      </c>
      <c r="I87" s="75">
        <f t="shared" si="16"/>
        <v>1244.42</v>
      </c>
      <c r="J87" s="76">
        <f t="shared" si="17"/>
        <v>975.33</v>
      </c>
      <c r="K87" s="76">
        <f t="shared" si="18"/>
        <v>1244.42</v>
      </c>
      <c r="L87" s="76"/>
      <c r="M87" s="76"/>
      <c r="N87" s="76"/>
      <c r="O87" s="51"/>
      <c r="R87" s="53">
        <v>975.33</v>
      </c>
    </row>
    <row r="88" spans="1:18" s="56" customFormat="1" ht="12" x14ac:dyDescent="0.2">
      <c r="A88" s="73" t="s">
        <v>78</v>
      </c>
      <c r="B88" s="73" t="s">
        <v>145</v>
      </c>
      <c r="C88" s="74" t="s">
        <v>146</v>
      </c>
      <c r="D88" s="73" t="s">
        <v>102</v>
      </c>
      <c r="E88" s="75">
        <v>2</v>
      </c>
      <c r="F88" s="75"/>
      <c r="G88" s="75"/>
      <c r="H88" s="75">
        <f t="shared" si="15"/>
        <v>585.20000000000005</v>
      </c>
      <c r="I88" s="75">
        <f t="shared" si="16"/>
        <v>746.66</v>
      </c>
      <c r="J88" s="76">
        <f t="shared" si="17"/>
        <v>1170.4000000000001</v>
      </c>
      <c r="K88" s="76">
        <f t="shared" si="18"/>
        <v>1493.32</v>
      </c>
      <c r="L88" s="76"/>
      <c r="M88" s="76"/>
      <c r="N88" s="76"/>
      <c r="O88" s="51"/>
      <c r="R88" s="53">
        <v>585.20000000000005</v>
      </c>
    </row>
    <row r="89" spans="1:18" s="56" customFormat="1" ht="12" x14ac:dyDescent="0.2">
      <c r="A89" s="73" t="s">
        <v>78</v>
      </c>
      <c r="B89" s="73" t="s">
        <v>147</v>
      </c>
      <c r="C89" s="74" t="s">
        <v>148</v>
      </c>
      <c r="D89" s="73" t="s">
        <v>102</v>
      </c>
      <c r="E89" s="75">
        <v>1</v>
      </c>
      <c r="F89" s="75"/>
      <c r="G89" s="75"/>
      <c r="H89" s="75">
        <f t="shared" si="15"/>
        <v>877.8</v>
      </c>
      <c r="I89" s="75">
        <f t="shared" si="16"/>
        <v>1119.99</v>
      </c>
      <c r="J89" s="76">
        <f t="shared" si="17"/>
        <v>877.8</v>
      </c>
      <c r="K89" s="76">
        <f t="shared" si="18"/>
        <v>1119.99</v>
      </c>
      <c r="L89" s="76"/>
      <c r="M89" s="76"/>
      <c r="N89" s="76"/>
      <c r="O89" s="51"/>
      <c r="R89" s="53">
        <v>877.8</v>
      </c>
    </row>
    <row r="90" spans="1:18" s="56" customFormat="1" ht="12" x14ac:dyDescent="0.2">
      <c r="A90" s="73" t="s">
        <v>78</v>
      </c>
      <c r="B90" s="73" t="s">
        <v>149</v>
      </c>
      <c r="C90" s="74" t="s">
        <v>150</v>
      </c>
      <c r="D90" s="73" t="s">
        <v>102</v>
      </c>
      <c r="E90" s="75">
        <v>1</v>
      </c>
      <c r="F90" s="75"/>
      <c r="G90" s="75"/>
      <c r="H90" s="75">
        <f t="shared" si="15"/>
        <v>1170.4100000000001</v>
      </c>
      <c r="I90" s="75">
        <f t="shared" si="16"/>
        <v>1493.33</v>
      </c>
      <c r="J90" s="76">
        <f t="shared" si="17"/>
        <v>1170.4100000000001</v>
      </c>
      <c r="K90" s="76">
        <f t="shared" si="18"/>
        <v>1493.33</v>
      </c>
      <c r="L90" s="76"/>
      <c r="M90" s="76"/>
      <c r="N90" s="76"/>
      <c r="O90" s="51"/>
      <c r="R90" s="51">
        <v>1170.4100000000001</v>
      </c>
    </row>
    <row r="91" spans="1:18" s="56" customFormat="1" ht="12" x14ac:dyDescent="0.2">
      <c r="A91" s="73" t="s">
        <v>78</v>
      </c>
      <c r="B91" s="73" t="s">
        <v>151</v>
      </c>
      <c r="C91" s="74" t="s">
        <v>152</v>
      </c>
      <c r="D91" s="73" t="s">
        <v>102</v>
      </c>
      <c r="E91" s="75">
        <v>2</v>
      </c>
      <c r="F91" s="75"/>
      <c r="G91" s="75"/>
      <c r="H91" s="75">
        <f t="shared" si="15"/>
        <v>1560.54</v>
      </c>
      <c r="I91" s="75">
        <f t="shared" si="16"/>
        <v>1991.09</v>
      </c>
      <c r="J91" s="76">
        <f t="shared" si="17"/>
        <v>3121.08</v>
      </c>
      <c r="K91" s="76">
        <f t="shared" si="18"/>
        <v>3982.18</v>
      </c>
      <c r="L91" s="76"/>
      <c r="M91" s="76"/>
      <c r="N91" s="76"/>
      <c r="O91" s="51"/>
      <c r="R91" s="51">
        <v>1560.54</v>
      </c>
    </row>
    <row r="92" spans="1:18" s="56" customFormat="1" ht="12" x14ac:dyDescent="0.2">
      <c r="A92" s="73" t="s">
        <v>78</v>
      </c>
      <c r="B92" s="73" t="s">
        <v>153</v>
      </c>
      <c r="C92" s="74" t="s">
        <v>154</v>
      </c>
      <c r="D92" s="73" t="s">
        <v>102</v>
      </c>
      <c r="E92" s="75">
        <v>2</v>
      </c>
      <c r="F92" s="75"/>
      <c r="G92" s="75"/>
      <c r="H92" s="75">
        <f t="shared" si="15"/>
        <v>1950.67</v>
      </c>
      <c r="I92" s="75">
        <f t="shared" si="16"/>
        <v>2488.86</v>
      </c>
      <c r="J92" s="76">
        <f t="shared" si="17"/>
        <v>3901.34</v>
      </c>
      <c r="K92" s="76">
        <f t="shared" si="18"/>
        <v>4977.72</v>
      </c>
      <c r="L92" s="76"/>
      <c r="M92" s="76"/>
      <c r="N92" s="76"/>
      <c r="O92" s="51"/>
      <c r="R92" s="51">
        <v>1950.67</v>
      </c>
    </row>
    <row r="93" spans="1:18" s="56" customFormat="1" ht="12" x14ac:dyDescent="0.2">
      <c r="A93" s="73" t="s">
        <v>78</v>
      </c>
      <c r="B93" s="73" t="s">
        <v>155</v>
      </c>
      <c r="C93" s="74" t="s">
        <v>156</v>
      </c>
      <c r="D93" s="73" t="s">
        <v>102</v>
      </c>
      <c r="E93" s="75">
        <v>5</v>
      </c>
      <c r="F93" s="75"/>
      <c r="G93" s="75"/>
      <c r="H93" s="75">
        <f t="shared" si="15"/>
        <v>2340.81</v>
      </c>
      <c r="I93" s="75">
        <f t="shared" si="16"/>
        <v>2986.64</v>
      </c>
      <c r="J93" s="76">
        <f t="shared" si="17"/>
        <v>11704.05</v>
      </c>
      <c r="K93" s="76">
        <f t="shared" si="18"/>
        <v>14933.2</v>
      </c>
      <c r="L93" s="76"/>
      <c r="M93" s="76"/>
      <c r="N93" s="76"/>
      <c r="O93" s="51"/>
      <c r="R93" s="51">
        <v>2340.81</v>
      </c>
    </row>
    <row r="94" spans="1:18" s="56" customFormat="1" ht="12" x14ac:dyDescent="0.2">
      <c r="A94" s="73" t="s">
        <v>78</v>
      </c>
      <c r="B94" s="73" t="s">
        <v>157</v>
      </c>
      <c r="C94" s="74" t="s">
        <v>158</v>
      </c>
      <c r="D94" s="73" t="s">
        <v>102</v>
      </c>
      <c r="E94" s="75">
        <v>4</v>
      </c>
      <c r="F94" s="75"/>
      <c r="G94" s="75"/>
      <c r="H94" s="75">
        <f t="shared" si="15"/>
        <v>3121.08</v>
      </c>
      <c r="I94" s="75">
        <f t="shared" si="16"/>
        <v>3982.19</v>
      </c>
      <c r="J94" s="76">
        <f t="shared" si="17"/>
        <v>12484.32</v>
      </c>
      <c r="K94" s="76">
        <f t="shared" si="18"/>
        <v>15928.76</v>
      </c>
      <c r="L94" s="76"/>
      <c r="M94" s="76"/>
      <c r="N94" s="76"/>
      <c r="O94" s="51"/>
      <c r="R94" s="51">
        <v>3121.08</v>
      </c>
    </row>
    <row r="95" spans="1:18" s="56" customFormat="1" ht="12" x14ac:dyDescent="0.2">
      <c r="A95" s="73" t="s">
        <v>78</v>
      </c>
      <c r="B95" s="73" t="s">
        <v>159</v>
      </c>
      <c r="C95" s="74" t="s">
        <v>160</v>
      </c>
      <c r="D95" s="73" t="s">
        <v>102</v>
      </c>
      <c r="E95" s="75">
        <v>1</v>
      </c>
      <c r="F95" s="75"/>
      <c r="G95" s="75"/>
      <c r="H95" s="75">
        <f t="shared" si="15"/>
        <v>1137.9000000000001</v>
      </c>
      <c r="I95" s="75">
        <f t="shared" si="16"/>
        <v>1451.85</v>
      </c>
      <c r="J95" s="76">
        <f t="shared" si="17"/>
        <v>1137.9000000000001</v>
      </c>
      <c r="K95" s="76">
        <f t="shared" si="18"/>
        <v>1451.85</v>
      </c>
      <c r="L95" s="76"/>
      <c r="M95" s="76"/>
      <c r="N95" s="76"/>
      <c r="O95" s="51"/>
      <c r="R95" s="51">
        <v>1137.9000000000001</v>
      </c>
    </row>
    <row r="96" spans="1:18" s="56" customFormat="1" ht="12" x14ac:dyDescent="0.2">
      <c r="A96" s="73" t="s">
        <v>161</v>
      </c>
      <c r="B96" s="73" t="s">
        <v>162</v>
      </c>
      <c r="C96" s="74" t="s">
        <v>163</v>
      </c>
      <c r="D96" s="73" t="s">
        <v>14</v>
      </c>
      <c r="E96" s="75">
        <v>10.26</v>
      </c>
      <c r="F96" s="75"/>
      <c r="G96" s="75"/>
      <c r="H96" s="75">
        <f t="shared" si="15"/>
        <v>18.63</v>
      </c>
      <c r="I96" s="75">
        <f t="shared" si="16"/>
        <v>23.77</v>
      </c>
      <c r="J96" s="76">
        <f t="shared" si="17"/>
        <v>191.14</v>
      </c>
      <c r="K96" s="76">
        <f t="shared" si="18"/>
        <v>243.88</v>
      </c>
      <c r="L96" s="76"/>
      <c r="M96" s="76"/>
      <c r="N96" s="76"/>
      <c r="O96" s="51"/>
      <c r="R96" s="53">
        <v>18.63</v>
      </c>
    </row>
    <row r="97" spans="1:18" s="56" customFormat="1" ht="24" x14ac:dyDescent="0.2">
      <c r="A97" s="73" t="s">
        <v>120</v>
      </c>
      <c r="B97" s="73" t="s">
        <v>164</v>
      </c>
      <c r="C97" s="74" t="s">
        <v>165</v>
      </c>
      <c r="D97" s="73" t="s">
        <v>102</v>
      </c>
      <c r="E97" s="75">
        <v>9</v>
      </c>
      <c r="F97" s="75"/>
      <c r="G97" s="75"/>
      <c r="H97" s="75">
        <f t="shared" si="15"/>
        <v>582.46</v>
      </c>
      <c r="I97" s="75">
        <f t="shared" si="16"/>
        <v>743.16</v>
      </c>
      <c r="J97" s="76">
        <f t="shared" si="17"/>
        <v>5242.1400000000003</v>
      </c>
      <c r="K97" s="76">
        <f t="shared" si="18"/>
        <v>6688.44</v>
      </c>
      <c r="L97" s="76"/>
      <c r="M97" s="76"/>
      <c r="N97" s="76"/>
      <c r="O97" s="51"/>
      <c r="R97" s="53">
        <v>582.46</v>
      </c>
    </row>
    <row r="98" spans="1:18" s="56" customFormat="1" ht="12" x14ac:dyDescent="0.2">
      <c r="A98" s="72"/>
      <c r="B98" s="70" t="s">
        <v>172</v>
      </c>
      <c r="C98" s="71" t="s">
        <v>173</v>
      </c>
      <c r="D98" s="72"/>
      <c r="E98" s="72"/>
      <c r="F98" s="72"/>
      <c r="G98" s="72"/>
      <c r="H98" s="75"/>
      <c r="I98" s="72"/>
      <c r="J98" s="72"/>
      <c r="K98" s="72"/>
      <c r="L98" s="72"/>
      <c r="M98" s="72"/>
      <c r="N98" s="72"/>
      <c r="O98" s="52"/>
      <c r="R98" s="52"/>
    </row>
    <row r="99" spans="1:18" s="56" customFormat="1" ht="12" x14ac:dyDescent="0.2">
      <c r="A99" s="94">
        <v>68054</v>
      </c>
      <c r="B99" s="73" t="s">
        <v>174</v>
      </c>
      <c r="C99" s="74" t="s">
        <v>175</v>
      </c>
      <c r="D99" s="73" t="s">
        <v>102</v>
      </c>
      <c r="E99" s="75">
        <v>5</v>
      </c>
      <c r="F99" s="75"/>
      <c r="G99" s="75"/>
      <c r="H99" s="75">
        <f>ROUND(R99*$R$12,2)</f>
        <v>180.11</v>
      </c>
      <c r="I99" s="75">
        <f>ROUND(H99*(1+$S$1),2)</f>
        <v>229.8</v>
      </c>
      <c r="J99" s="76">
        <f>ROUND(E99*H99,2)</f>
        <v>900.55</v>
      </c>
      <c r="K99" s="76">
        <f>ROUND(E99*I99,2)</f>
        <v>1149</v>
      </c>
      <c r="L99" s="76"/>
      <c r="M99" s="76"/>
      <c r="N99" s="76"/>
      <c r="O99" s="51"/>
      <c r="R99" s="53">
        <v>180.11</v>
      </c>
    </row>
    <row r="100" spans="1:18" s="56" customFormat="1" ht="12" x14ac:dyDescent="0.2">
      <c r="A100" s="94">
        <v>68054</v>
      </c>
      <c r="B100" s="73" t="s">
        <v>176</v>
      </c>
      <c r="C100" s="74" t="s">
        <v>177</v>
      </c>
      <c r="D100" s="73" t="s">
        <v>102</v>
      </c>
      <c r="E100" s="75">
        <v>1</v>
      </c>
      <c r="F100" s="75"/>
      <c r="G100" s="75"/>
      <c r="H100" s="75">
        <f>ROUND(R100*$R$12,2)</f>
        <v>327.47000000000003</v>
      </c>
      <c r="I100" s="75">
        <f>ROUND(H100*(1+$S$1),2)</f>
        <v>417.82</v>
      </c>
      <c r="J100" s="76">
        <f>ROUND(E100*H100,2)</f>
        <v>327.47000000000003</v>
      </c>
      <c r="K100" s="76">
        <f>ROUND(E100*I100,2)</f>
        <v>417.82</v>
      </c>
      <c r="L100" s="76"/>
      <c r="M100" s="76"/>
      <c r="N100" s="76"/>
      <c r="O100" s="51"/>
      <c r="R100" s="53">
        <v>327.47000000000003</v>
      </c>
    </row>
    <row r="101" spans="1:18" s="56" customFormat="1" ht="12" x14ac:dyDescent="0.2">
      <c r="A101" s="73" t="s">
        <v>178</v>
      </c>
      <c r="B101" s="73" t="s">
        <v>179</v>
      </c>
      <c r="C101" s="74" t="s">
        <v>180</v>
      </c>
      <c r="D101" s="73" t="s">
        <v>14</v>
      </c>
      <c r="E101" s="75">
        <v>12.6</v>
      </c>
      <c r="F101" s="75"/>
      <c r="G101" s="75"/>
      <c r="H101" s="75">
        <f>ROUND(R101*$R$12,2)</f>
        <v>381.87</v>
      </c>
      <c r="I101" s="75">
        <f>ROUND(H101*(1+$S$1),2)</f>
        <v>487.23</v>
      </c>
      <c r="J101" s="76">
        <f>ROUND(E101*H101,2)</f>
        <v>4811.5600000000004</v>
      </c>
      <c r="K101" s="76">
        <f>ROUND(E101*I101,2)</f>
        <v>6139.1</v>
      </c>
      <c r="L101" s="76"/>
      <c r="M101" s="76"/>
      <c r="N101" s="76"/>
      <c r="O101" s="51"/>
      <c r="R101" s="53">
        <v>381.87</v>
      </c>
    </row>
    <row r="102" spans="1:18" s="56" customFormat="1" ht="12" x14ac:dyDescent="0.2">
      <c r="A102" s="72"/>
      <c r="B102" s="71"/>
      <c r="C102" s="71"/>
      <c r="D102" s="71"/>
      <c r="E102" s="71"/>
      <c r="F102" s="71"/>
      <c r="G102" s="71"/>
      <c r="H102" s="75"/>
      <c r="I102" s="77" t="s">
        <v>181</v>
      </c>
      <c r="J102" s="78">
        <f>SUM(J76:J101)</f>
        <v>65962.240000000005</v>
      </c>
      <c r="K102" s="78">
        <f>SUM(K76:K101)</f>
        <v>84161.35000000002</v>
      </c>
      <c r="L102" s="78"/>
      <c r="M102" s="78"/>
      <c r="N102" s="78"/>
      <c r="O102" s="60"/>
      <c r="R102" s="59"/>
    </row>
    <row r="103" spans="1:18" s="56" customFormat="1" ht="12" x14ac:dyDescent="0.2">
      <c r="A103" s="72"/>
      <c r="B103" s="69"/>
      <c r="C103" s="71"/>
      <c r="D103" s="71"/>
      <c r="E103" s="71"/>
      <c r="F103" s="71"/>
      <c r="G103" s="71"/>
      <c r="H103" s="75"/>
      <c r="I103" s="77" t="s">
        <v>182</v>
      </c>
      <c r="J103" s="78">
        <f>SUM(J73,J102)</f>
        <v>87198.06</v>
      </c>
      <c r="K103" s="78">
        <f>SUM(K73,K102)</f>
        <v>111256.17000000001</v>
      </c>
      <c r="L103" s="78"/>
      <c r="M103" s="78"/>
      <c r="N103" s="78"/>
      <c r="O103" s="60"/>
      <c r="R103" s="59"/>
    </row>
    <row r="104" spans="1:18" s="56" customFormat="1" ht="12" x14ac:dyDescent="0.2">
      <c r="A104" s="72"/>
      <c r="B104" s="70" t="s">
        <v>183</v>
      </c>
      <c r="C104" s="71" t="s">
        <v>184</v>
      </c>
      <c r="D104" s="71"/>
      <c r="E104" s="71"/>
      <c r="F104" s="71"/>
      <c r="G104" s="71"/>
      <c r="H104" s="75"/>
      <c r="I104" s="71"/>
      <c r="J104" s="71"/>
      <c r="K104" s="72"/>
      <c r="L104" s="72"/>
      <c r="M104" s="72"/>
      <c r="N104" s="72"/>
      <c r="O104" s="52"/>
      <c r="R104" s="59"/>
    </row>
    <row r="105" spans="1:18" s="56" customFormat="1" ht="12" x14ac:dyDescent="0.2">
      <c r="A105" s="73" t="s">
        <v>185</v>
      </c>
      <c r="B105" s="73" t="s">
        <v>186</v>
      </c>
      <c r="C105" s="74" t="s">
        <v>187</v>
      </c>
      <c r="D105" s="73" t="s">
        <v>14</v>
      </c>
      <c r="E105" s="75">
        <v>13.8</v>
      </c>
      <c r="F105" s="75"/>
      <c r="G105" s="75"/>
      <c r="H105" s="75">
        <f>ROUND(R105*$R$12,2)</f>
        <v>319.5</v>
      </c>
      <c r="I105" s="75">
        <f>ROUND(H105*(1+$S$1),2)</f>
        <v>407.65</v>
      </c>
      <c r="J105" s="76">
        <f>ROUND(E105*H105,2)</f>
        <v>4409.1000000000004</v>
      </c>
      <c r="K105" s="76">
        <f>ROUND(E105*I105,2)</f>
        <v>5625.57</v>
      </c>
      <c r="L105" s="76"/>
      <c r="M105" s="76"/>
      <c r="N105" s="76"/>
      <c r="O105" s="51"/>
      <c r="R105" s="53">
        <v>319.5</v>
      </c>
    </row>
    <row r="106" spans="1:18" s="56" customFormat="1" ht="12" x14ac:dyDescent="0.2">
      <c r="A106" s="94">
        <v>85005</v>
      </c>
      <c r="B106" s="73" t="s">
        <v>188</v>
      </c>
      <c r="C106" s="74" t="s">
        <v>189</v>
      </c>
      <c r="D106" s="73" t="s">
        <v>14</v>
      </c>
      <c r="E106" s="75">
        <v>7</v>
      </c>
      <c r="F106" s="75"/>
      <c r="G106" s="75"/>
      <c r="H106" s="75">
        <f>ROUND(R106*$R$12,2)</f>
        <v>347.14</v>
      </c>
      <c r="I106" s="75">
        <f>ROUND(H106*(1+$S$1),2)</f>
        <v>442.92</v>
      </c>
      <c r="J106" s="76">
        <f>ROUND(E106*H106,2)</f>
        <v>2429.98</v>
      </c>
      <c r="K106" s="76">
        <f>ROUND(E106*I106,2)</f>
        <v>3100.44</v>
      </c>
      <c r="L106" s="76"/>
      <c r="M106" s="76"/>
      <c r="N106" s="76"/>
      <c r="O106" s="51"/>
      <c r="R106" s="53">
        <v>347.14</v>
      </c>
    </row>
    <row r="107" spans="1:18" s="56" customFormat="1" ht="12" x14ac:dyDescent="0.2">
      <c r="A107" s="72"/>
      <c r="B107" s="71"/>
      <c r="C107" s="71"/>
      <c r="D107" s="71"/>
      <c r="E107" s="71"/>
      <c r="F107" s="71"/>
      <c r="G107" s="71"/>
      <c r="H107" s="75"/>
      <c r="I107" s="77" t="s">
        <v>190</v>
      </c>
      <c r="J107" s="78">
        <f>SUM(J105:J106)</f>
        <v>6839.08</v>
      </c>
      <c r="K107" s="78">
        <f>SUM(K105:K106)</f>
        <v>8726.01</v>
      </c>
      <c r="L107" s="78"/>
      <c r="M107" s="78"/>
      <c r="N107" s="78"/>
      <c r="O107" s="60"/>
      <c r="R107" s="59"/>
    </row>
    <row r="108" spans="1:18" s="56" customFormat="1" ht="12" x14ac:dyDescent="0.2">
      <c r="A108" s="72"/>
      <c r="B108" s="70" t="s">
        <v>191</v>
      </c>
      <c r="C108" s="71" t="s">
        <v>192</v>
      </c>
      <c r="D108" s="71"/>
      <c r="E108" s="71"/>
      <c r="F108" s="71"/>
      <c r="G108" s="71"/>
      <c r="H108" s="75"/>
      <c r="I108" s="71"/>
      <c r="J108" s="71"/>
      <c r="K108" s="72"/>
      <c r="L108" s="72"/>
      <c r="M108" s="72"/>
      <c r="N108" s="72"/>
      <c r="O108" s="52"/>
      <c r="R108" s="59"/>
    </row>
    <row r="109" spans="1:18" s="56" customFormat="1" ht="12" x14ac:dyDescent="0.2">
      <c r="A109" s="94">
        <v>92539</v>
      </c>
      <c r="B109" s="73" t="s">
        <v>193</v>
      </c>
      <c r="C109" s="74" t="s">
        <v>194</v>
      </c>
      <c r="D109" s="73" t="s">
        <v>14</v>
      </c>
      <c r="E109" s="76">
        <v>1271.78</v>
      </c>
      <c r="F109" s="76"/>
      <c r="G109" s="76"/>
      <c r="H109" s="75">
        <f t="shared" ref="H109:H114" si="19">ROUND(R109*$R$12,2)</f>
        <v>52.1</v>
      </c>
      <c r="I109" s="75">
        <f t="shared" ref="I109:I114" si="20">ROUND(H109*(1+$S$1),2)</f>
        <v>66.47</v>
      </c>
      <c r="J109" s="76">
        <f t="shared" ref="J109:J114" si="21">ROUND(E109*H109,2)</f>
        <v>66259.740000000005</v>
      </c>
      <c r="K109" s="76">
        <f t="shared" ref="K109:K114" si="22">ROUND(E109*I109,2)</f>
        <v>84535.22</v>
      </c>
      <c r="L109" s="76"/>
      <c r="M109" s="76"/>
      <c r="N109" s="76"/>
      <c r="O109" s="51"/>
      <c r="R109" s="53">
        <v>52.1</v>
      </c>
    </row>
    <row r="110" spans="1:18" s="56" customFormat="1" ht="12" x14ac:dyDescent="0.2">
      <c r="A110" s="94">
        <v>94195</v>
      </c>
      <c r="B110" s="73" t="s">
        <v>195</v>
      </c>
      <c r="C110" s="74" t="s">
        <v>196</v>
      </c>
      <c r="D110" s="73" t="s">
        <v>14</v>
      </c>
      <c r="E110" s="76">
        <v>1264.78</v>
      </c>
      <c r="F110" s="76"/>
      <c r="G110" s="76"/>
      <c r="H110" s="75">
        <f t="shared" si="19"/>
        <v>15.24</v>
      </c>
      <c r="I110" s="75">
        <f t="shared" si="20"/>
        <v>19.440000000000001</v>
      </c>
      <c r="J110" s="76">
        <f t="shared" si="21"/>
        <v>19275.25</v>
      </c>
      <c r="K110" s="76">
        <f t="shared" si="22"/>
        <v>24587.32</v>
      </c>
      <c r="L110" s="76"/>
      <c r="M110" s="76"/>
      <c r="N110" s="76"/>
      <c r="O110" s="51"/>
      <c r="R110" s="53">
        <v>15.24</v>
      </c>
    </row>
    <row r="111" spans="1:18" s="56" customFormat="1" ht="12" x14ac:dyDescent="0.2">
      <c r="A111" s="94">
        <v>94444</v>
      </c>
      <c r="B111" s="73" t="s">
        <v>197</v>
      </c>
      <c r="C111" s="74" t="s">
        <v>198</v>
      </c>
      <c r="D111" s="73" t="s">
        <v>14</v>
      </c>
      <c r="E111" s="75">
        <v>7</v>
      </c>
      <c r="F111" s="75"/>
      <c r="G111" s="75"/>
      <c r="H111" s="75">
        <f t="shared" si="19"/>
        <v>584.54999999999995</v>
      </c>
      <c r="I111" s="75">
        <f t="shared" si="20"/>
        <v>745.83</v>
      </c>
      <c r="J111" s="76">
        <f t="shared" si="21"/>
        <v>4091.85</v>
      </c>
      <c r="K111" s="76">
        <f t="shared" si="22"/>
        <v>5220.8100000000004</v>
      </c>
      <c r="L111" s="76"/>
      <c r="M111" s="76"/>
      <c r="N111" s="76"/>
      <c r="O111" s="51"/>
      <c r="R111" s="53">
        <v>584.54999999999995</v>
      </c>
    </row>
    <row r="112" spans="1:18" s="56" customFormat="1" ht="12" x14ac:dyDescent="0.2">
      <c r="A112" s="94">
        <v>94219</v>
      </c>
      <c r="B112" s="73" t="s">
        <v>199</v>
      </c>
      <c r="C112" s="74" t="s">
        <v>200</v>
      </c>
      <c r="D112" s="73" t="s">
        <v>81</v>
      </c>
      <c r="E112" s="75">
        <v>154.99</v>
      </c>
      <c r="F112" s="75"/>
      <c r="G112" s="75"/>
      <c r="H112" s="75">
        <f t="shared" si="19"/>
        <v>18.86</v>
      </c>
      <c r="I112" s="75">
        <f t="shared" si="20"/>
        <v>24.06</v>
      </c>
      <c r="J112" s="76">
        <f t="shared" si="21"/>
        <v>2923.11</v>
      </c>
      <c r="K112" s="76">
        <f t="shared" si="22"/>
        <v>3729.06</v>
      </c>
      <c r="L112" s="76"/>
      <c r="M112" s="76"/>
      <c r="N112" s="76"/>
      <c r="O112" s="51"/>
      <c r="R112" s="53">
        <v>18.86</v>
      </c>
    </row>
    <row r="113" spans="1:18" s="56" customFormat="1" ht="12" x14ac:dyDescent="0.2">
      <c r="A113" s="94">
        <v>94228</v>
      </c>
      <c r="B113" s="73" t="s">
        <v>201</v>
      </c>
      <c r="C113" s="74" t="s">
        <v>202</v>
      </c>
      <c r="D113" s="73" t="s">
        <v>81</v>
      </c>
      <c r="E113" s="75">
        <v>2.5</v>
      </c>
      <c r="F113" s="75"/>
      <c r="G113" s="75"/>
      <c r="H113" s="75">
        <f t="shared" si="19"/>
        <v>42.78</v>
      </c>
      <c r="I113" s="75">
        <f t="shared" si="20"/>
        <v>54.58</v>
      </c>
      <c r="J113" s="76">
        <f t="shared" si="21"/>
        <v>106.95</v>
      </c>
      <c r="K113" s="76">
        <f t="shared" si="22"/>
        <v>136.44999999999999</v>
      </c>
      <c r="L113" s="76"/>
      <c r="M113" s="76"/>
      <c r="N113" s="76"/>
      <c r="O113" s="51"/>
      <c r="R113" s="53">
        <v>42.78</v>
      </c>
    </row>
    <row r="114" spans="1:18" s="56" customFormat="1" ht="12" x14ac:dyDescent="0.2">
      <c r="A114" s="73" t="s">
        <v>203</v>
      </c>
      <c r="B114" s="73" t="s">
        <v>204</v>
      </c>
      <c r="C114" s="74" t="s">
        <v>205</v>
      </c>
      <c r="D114" s="73" t="s">
        <v>81</v>
      </c>
      <c r="E114" s="75">
        <v>107</v>
      </c>
      <c r="F114" s="75"/>
      <c r="G114" s="75"/>
      <c r="H114" s="75">
        <f t="shared" si="19"/>
        <v>20.81</v>
      </c>
      <c r="I114" s="75">
        <f t="shared" si="20"/>
        <v>26.55</v>
      </c>
      <c r="J114" s="76">
        <f t="shared" si="21"/>
        <v>2226.67</v>
      </c>
      <c r="K114" s="76">
        <f t="shared" si="22"/>
        <v>2840.85</v>
      </c>
      <c r="L114" s="76"/>
      <c r="M114" s="76"/>
      <c r="N114" s="76"/>
      <c r="O114" s="51"/>
      <c r="R114" s="53">
        <v>20.81</v>
      </c>
    </row>
    <row r="115" spans="1:18" s="56" customFormat="1" ht="12" x14ac:dyDescent="0.2">
      <c r="A115" s="72"/>
      <c r="B115" s="71"/>
      <c r="C115" s="71"/>
      <c r="D115" s="71"/>
      <c r="E115" s="71"/>
      <c r="F115" s="71"/>
      <c r="G115" s="71"/>
      <c r="H115" s="75"/>
      <c r="I115" s="77" t="s">
        <v>206</v>
      </c>
      <c r="J115" s="78">
        <f>SUM(J109:J114)</f>
        <v>94883.57</v>
      </c>
      <c r="K115" s="78">
        <f>SUM(K109:K114)</f>
        <v>121049.71</v>
      </c>
      <c r="L115" s="78"/>
      <c r="M115" s="78"/>
      <c r="N115" s="78"/>
      <c r="O115" s="60"/>
      <c r="P115" s="58"/>
      <c r="R115" s="59"/>
    </row>
    <row r="116" spans="1:18" s="56" customFormat="1" ht="12" x14ac:dyDescent="0.2">
      <c r="A116" s="72"/>
      <c r="B116" s="70" t="s">
        <v>207</v>
      </c>
      <c r="C116" s="71" t="s">
        <v>208</v>
      </c>
      <c r="D116" s="71"/>
      <c r="E116" s="71"/>
      <c r="F116" s="71"/>
      <c r="G116" s="71"/>
      <c r="H116" s="75"/>
      <c r="I116" s="71"/>
      <c r="J116" s="71"/>
      <c r="K116" s="72"/>
      <c r="L116" s="72"/>
      <c r="M116" s="72"/>
      <c r="N116" s="72"/>
      <c r="O116" s="52"/>
      <c r="R116" s="59"/>
    </row>
    <row r="117" spans="1:18" s="56" customFormat="1" ht="12" x14ac:dyDescent="0.2">
      <c r="A117" s="73" t="s">
        <v>212</v>
      </c>
      <c r="B117" s="73" t="s">
        <v>210</v>
      </c>
      <c r="C117" s="74" t="s">
        <v>214</v>
      </c>
      <c r="D117" s="73" t="s">
        <v>14</v>
      </c>
      <c r="E117" s="75">
        <v>77</v>
      </c>
      <c r="F117" s="75"/>
      <c r="G117" s="75"/>
      <c r="H117" s="75">
        <f>ROUND(R117*$R$12,2)</f>
        <v>29.51</v>
      </c>
      <c r="I117" s="75">
        <f>ROUND(H117*(1+$S$1),2)</f>
        <v>37.65</v>
      </c>
      <c r="J117" s="76">
        <f>ROUND(E117*H117,2)</f>
        <v>2272.27</v>
      </c>
      <c r="K117" s="76">
        <f>ROUND(E117*I117,2)</f>
        <v>2899.05</v>
      </c>
      <c r="L117" s="76"/>
      <c r="M117" s="76"/>
      <c r="N117" s="76"/>
      <c r="O117" s="51"/>
      <c r="R117" s="53">
        <v>29.51</v>
      </c>
    </row>
    <row r="118" spans="1:18" s="56" customFormat="1" ht="12" x14ac:dyDescent="0.2">
      <c r="A118" s="73" t="s">
        <v>215</v>
      </c>
      <c r="B118" s="73" t="s">
        <v>213</v>
      </c>
      <c r="C118" s="74" t="s">
        <v>217</v>
      </c>
      <c r="D118" s="73" t="s">
        <v>14</v>
      </c>
      <c r="E118" s="75">
        <v>105</v>
      </c>
      <c r="F118" s="75"/>
      <c r="G118" s="75"/>
      <c r="H118" s="75">
        <f>ROUND(R118*$R$12,2)</f>
        <v>14.07</v>
      </c>
      <c r="I118" s="75">
        <f>ROUND(H118*(1+$S$1),2)</f>
        <v>17.95</v>
      </c>
      <c r="J118" s="76">
        <f>ROUND(E118*H118,2)</f>
        <v>1477.35</v>
      </c>
      <c r="K118" s="76">
        <f>ROUND(E118*I118,2)</f>
        <v>1884.75</v>
      </c>
      <c r="L118" s="76"/>
      <c r="M118" s="76"/>
      <c r="N118" s="76"/>
      <c r="O118" s="51"/>
      <c r="R118" s="53">
        <v>14.07</v>
      </c>
    </row>
    <row r="119" spans="1:18" s="56" customFormat="1" ht="12" x14ac:dyDescent="0.2">
      <c r="A119" s="73" t="s">
        <v>215</v>
      </c>
      <c r="B119" s="73" t="s">
        <v>216</v>
      </c>
      <c r="C119" s="74" t="s">
        <v>219</v>
      </c>
      <c r="D119" s="73" t="s">
        <v>14</v>
      </c>
      <c r="E119" s="75">
        <v>221.45</v>
      </c>
      <c r="F119" s="75"/>
      <c r="G119" s="75"/>
      <c r="H119" s="75">
        <f>ROUND(R119*$R$12,2)</f>
        <v>14.07</v>
      </c>
      <c r="I119" s="75">
        <f>ROUND(H119*(1+$S$1),2)</f>
        <v>17.95</v>
      </c>
      <c r="J119" s="76">
        <f>ROUND(E119*H119,2)</f>
        <v>3115.8</v>
      </c>
      <c r="K119" s="76">
        <f>ROUND(E119*I119,2)</f>
        <v>3975.03</v>
      </c>
      <c r="L119" s="76"/>
      <c r="M119" s="76"/>
      <c r="N119" s="76"/>
      <c r="O119" s="51"/>
      <c r="R119" s="53">
        <v>14.07</v>
      </c>
    </row>
    <row r="120" spans="1:18" s="56" customFormat="1" ht="12" x14ac:dyDescent="0.2">
      <c r="A120" s="72"/>
      <c r="B120" s="71"/>
      <c r="C120" s="71"/>
      <c r="D120" s="71"/>
      <c r="E120" s="71"/>
      <c r="F120" s="71"/>
      <c r="G120" s="71"/>
      <c r="H120" s="75"/>
      <c r="I120" s="77" t="s">
        <v>220</v>
      </c>
      <c r="J120" s="78">
        <f>SUM(J117:J119)</f>
        <v>6865.42</v>
      </c>
      <c r="K120" s="78">
        <f>SUM(K117:K119)</f>
        <v>8758.83</v>
      </c>
      <c r="L120" s="78"/>
      <c r="M120" s="78"/>
      <c r="N120" s="78"/>
      <c r="O120" s="60"/>
      <c r="P120" s="58"/>
      <c r="R120" s="59"/>
    </row>
    <row r="121" spans="1:18" s="56" customFormat="1" ht="12" x14ac:dyDescent="0.2">
      <c r="A121" s="72"/>
      <c r="B121" s="70" t="s">
        <v>221</v>
      </c>
      <c r="C121" s="71" t="s">
        <v>222</v>
      </c>
      <c r="D121" s="71"/>
      <c r="E121" s="71"/>
      <c r="F121" s="71"/>
      <c r="G121" s="71"/>
      <c r="H121" s="75"/>
      <c r="I121" s="71"/>
      <c r="J121" s="71"/>
      <c r="K121" s="72"/>
      <c r="L121" s="72"/>
      <c r="M121" s="72"/>
      <c r="N121" s="72"/>
      <c r="O121" s="52"/>
      <c r="R121" s="59"/>
    </row>
    <row r="122" spans="1:18" s="56" customFormat="1" ht="12" x14ac:dyDescent="0.2">
      <c r="A122" s="72"/>
      <c r="B122" s="70" t="s">
        <v>223</v>
      </c>
      <c r="C122" s="71" t="s">
        <v>224</v>
      </c>
      <c r="D122" s="71"/>
      <c r="E122" s="71"/>
      <c r="F122" s="71"/>
      <c r="G122" s="71"/>
      <c r="H122" s="75"/>
      <c r="I122" s="71"/>
      <c r="J122" s="71"/>
      <c r="K122" s="72"/>
      <c r="L122" s="72"/>
      <c r="M122" s="72"/>
      <c r="N122" s="72"/>
      <c r="O122" s="52"/>
      <c r="R122" s="59"/>
    </row>
    <row r="123" spans="1:18" s="56" customFormat="1" ht="12" x14ac:dyDescent="0.2">
      <c r="A123" s="72"/>
      <c r="B123" s="70" t="s">
        <v>225</v>
      </c>
      <c r="C123" s="71" t="s">
        <v>226</v>
      </c>
      <c r="D123" s="72"/>
      <c r="E123" s="72"/>
      <c r="F123" s="72"/>
      <c r="G123" s="72"/>
      <c r="H123" s="75"/>
      <c r="I123" s="72"/>
      <c r="J123" s="72"/>
      <c r="K123" s="72"/>
      <c r="L123" s="72"/>
      <c r="M123" s="72"/>
      <c r="N123" s="72"/>
      <c r="O123" s="52"/>
      <c r="R123" s="52"/>
    </row>
    <row r="124" spans="1:18" s="56" customFormat="1" ht="12" x14ac:dyDescent="0.2">
      <c r="A124" s="94">
        <v>87775</v>
      </c>
      <c r="B124" s="73" t="s">
        <v>227</v>
      </c>
      <c r="C124" s="74" t="s">
        <v>228</v>
      </c>
      <c r="D124" s="73" t="s">
        <v>14</v>
      </c>
      <c r="E124" s="75">
        <v>239.8</v>
      </c>
      <c r="F124" s="75"/>
      <c r="G124" s="75"/>
      <c r="H124" s="75">
        <f>ROUND(R124*$R$12,2)</f>
        <v>37.78</v>
      </c>
      <c r="I124" s="75">
        <f>ROUND(H124*(1+$S$1),2)</f>
        <v>48.2</v>
      </c>
      <c r="J124" s="76">
        <f>ROUND(E124*H124,2)</f>
        <v>9059.64</v>
      </c>
      <c r="K124" s="76">
        <f>ROUND(E124*I124,2)</f>
        <v>11558.36</v>
      </c>
      <c r="L124" s="76"/>
      <c r="M124" s="76"/>
      <c r="N124" s="76"/>
      <c r="O124" s="51"/>
      <c r="R124" s="53">
        <v>37.78</v>
      </c>
    </row>
    <row r="125" spans="1:18" s="56" customFormat="1" ht="12" x14ac:dyDescent="0.2">
      <c r="A125" s="73" t="s">
        <v>229</v>
      </c>
      <c r="B125" s="73" t="s">
        <v>230</v>
      </c>
      <c r="C125" s="74" t="s">
        <v>231</v>
      </c>
      <c r="D125" s="73" t="s">
        <v>14</v>
      </c>
      <c r="E125" s="75">
        <v>242.72</v>
      </c>
      <c r="F125" s="75"/>
      <c r="G125" s="75"/>
      <c r="H125" s="75">
        <f>ROUND(R125*$R$12,2)</f>
        <v>21.63</v>
      </c>
      <c r="I125" s="75">
        <f>ROUND(H125*(1+$S$1),2)</f>
        <v>27.6</v>
      </c>
      <c r="J125" s="76">
        <f>ROUND(E125*H125,2)</f>
        <v>5250.03</v>
      </c>
      <c r="K125" s="76">
        <f>ROUND(E125*I125,2)</f>
        <v>6699.07</v>
      </c>
      <c r="L125" s="76"/>
      <c r="M125" s="76"/>
      <c r="N125" s="76"/>
      <c r="O125" s="51"/>
      <c r="R125" s="53">
        <v>21.63</v>
      </c>
    </row>
    <row r="126" spans="1:18" s="56" customFormat="1" ht="12" x14ac:dyDescent="0.2">
      <c r="A126" s="94">
        <v>87265</v>
      </c>
      <c r="B126" s="73" t="s">
        <v>232</v>
      </c>
      <c r="C126" s="74" t="s">
        <v>233</v>
      </c>
      <c r="D126" s="73" t="s">
        <v>14</v>
      </c>
      <c r="E126" s="75">
        <v>959.21</v>
      </c>
      <c r="F126" s="75"/>
      <c r="G126" s="75"/>
      <c r="H126" s="75">
        <f>ROUND(R126*$R$12,2)</f>
        <v>31.09</v>
      </c>
      <c r="I126" s="75">
        <f>ROUND(H126*(1+$S$1),2)</f>
        <v>39.67</v>
      </c>
      <c r="J126" s="76">
        <f>ROUND(E126*H126,2)</f>
        <v>29821.84</v>
      </c>
      <c r="K126" s="76">
        <f>ROUND(E126*I126,2)</f>
        <v>38051.86</v>
      </c>
      <c r="L126" s="76"/>
      <c r="M126" s="76"/>
      <c r="N126" s="76"/>
      <c r="O126" s="51"/>
      <c r="R126" s="53">
        <v>31.09</v>
      </c>
    </row>
    <row r="127" spans="1:18" s="56" customFormat="1" ht="12" x14ac:dyDescent="0.2">
      <c r="A127" s="72"/>
      <c r="B127" s="70" t="s">
        <v>234</v>
      </c>
      <c r="C127" s="71" t="s">
        <v>235</v>
      </c>
      <c r="D127" s="72"/>
      <c r="E127" s="72"/>
      <c r="F127" s="72"/>
      <c r="G127" s="72"/>
      <c r="H127" s="75"/>
      <c r="I127" s="72"/>
      <c r="J127" s="72"/>
      <c r="K127" s="72"/>
      <c r="L127" s="72"/>
      <c r="M127" s="72"/>
      <c r="N127" s="72"/>
      <c r="O127" s="52"/>
      <c r="R127" s="52"/>
    </row>
    <row r="128" spans="1:18" s="56" customFormat="1" ht="12" x14ac:dyDescent="0.2">
      <c r="A128" s="73" t="s">
        <v>236</v>
      </c>
      <c r="B128" s="73" t="s">
        <v>237</v>
      </c>
      <c r="C128" s="74" t="s">
        <v>231</v>
      </c>
      <c r="D128" s="73" t="s">
        <v>14</v>
      </c>
      <c r="E128" s="75">
        <v>724.74</v>
      </c>
      <c r="F128" s="75"/>
      <c r="G128" s="75"/>
      <c r="H128" s="75">
        <f>ROUND(R128*$R$12,2)</f>
        <v>22.03</v>
      </c>
      <c r="I128" s="75">
        <f>ROUND(H128*(1+$S$1),2)</f>
        <v>28.11</v>
      </c>
      <c r="J128" s="76">
        <f>ROUND(E128*H128,2)</f>
        <v>15966.02</v>
      </c>
      <c r="K128" s="76">
        <f>ROUND(E128*I128,2)</f>
        <v>20372.439999999999</v>
      </c>
      <c r="L128" s="76"/>
      <c r="M128" s="76"/>
      <c r="N128" s="76"/>
      <c r="O128" s="51"/>
      <c r="R128" s="53">
        <v>22.03</v>
      </c>
    </row>
    <row r="129" spans="1:18" s="56" customFormat="1" ht="12" x14ac:dyDescent="0.2">
      <c r="A129" s="72"/>
      <c r="B129" s="71"/>
      <c r="C129" s="71"/>
      <c r="D129" s="71"/>
      <c r="E129" s="71"/>
      <c r="F129" s="71"/>
      <c r="G129" s="71"/>
      <c r="H129" s="75"/>
      <c r="I129" s="77" t="s">
        <v>238</v>
      </c>
      <c r="J129" s="78">
        <f>SUM(J124:J128)</f>
        <v>60097.53</v>
      </c>
      <c r="K129" s="78">
        <f>SUM(K124:K128)</f>
        <v>76681.73</v>
      </c>
      <c r="L129" s="78"/>
      <c r="M129" s="78"/>
      <c r="N129" s="78"/>
      <c r="O129" s="60"/>
      <c r="R129" s="59"/>
    </row>
    <row r="130" spans="1:18" s="56" customFormat="1" ht="12" x14ac:dyDescent="0.2">
      <c r="A130" s="72"/>
      <c r="B130" s="70" t="s">
        <v>239</v>
      </c>
      <c r="C130" s="71" t="s">
        <v>240</v>
      </c>
      <c r="D130" s="71"/>
      <c r="E130" s="71"/>
      <c r="F130" s="71"/>
      <c r="G130" s="71"/>
      <c r="H130" s="75"/>
      <c r="I130" s="71"/>
      <c r="J130" s="71"/>
      <c r="K130" s="72"/>
      <c r="L130" s="72"/>
      <c r="M130" s="72"/>
      <c r="N130" s="72"/>
      <c r="O130" s="52"/>
      <c r="R130" s="59"/>
    </row>
    <row r="131" spans="1:18" s="56" customFormat="1" ht="12" x14ac:dyDescent="0.2">
      <c r="A131" s="72"/>
      <c r="B131" s="70" t="s">
        <v>241</v>
      </c>
      <c r="C131" s="71" t="s">
        <v>242</v>
      </c>
      <c r="D131" s="72"/>
      <c r="E131" s="72"/>
      <c r="F131" s="72"/>
      <c r="G131" s="72"/>
      <c r="H131" s="75"/>
      <c r="I131" s="72"/>
      <c r="J131" s="72"/>
      <c r="K131" s="72"/>
      <c r="L131" s="72"/>
      <c r="M131" s="72"/>
      <c r="N131" s="72"/>
      <c r="O131" s="52"/>
      <c r="R131" s="52"/>
    </row>
    <row r="132" spans="1:18" s="56" customFormat="1" ht="12" x14ac:dyDescent="0.2">
      <c r="A132" s="94">
        <v>87905</v>
      </c>
      <c r="B132" s="73" t="s">
        <v>243</v>
      </c>
      <c r="C132" s="74" t="s">
        <v>244</v>
      </c>
      <c r="D132" s="73" t="s">
        <v>14</v>
      </c>
      <c r="E132" s="75">
        <v>414.73</v>
      </c>
      <c r="F132" s="75"/>
      <c r="G132" s="75"/>
      <c r="H132" s="75">
        <f>ROUND(R132*$R$12,2)</f>
        <v>5.81</v>
      </c>
      <c r="I132" s="75">
        <f>ROUND(H132*(1+$S$1),2)</f>
        <v>7.41</v>
      </c>
      <c r="J132" s="76">
        <f>ROUND(E132*H132,2)</f>
        <v>2409.58</v>
      </c>
      <c r="K132" s="76">
        <f>ROUND(E132*I132,2)</f>
        <v>3073.15</v>
      </c>
      <c r="L132" s="76"/>
      <c r="M132" s="76"/>
      <c r="N132" s="76"/>
      <c r="O132" s="51"/>
      <c r="R132" s="53">
        <v>5.81</v>
      </c>
    </row>
    <row r="133" spans="1:18" s="56" customFormat="1" ht="12" x14ac:dyDescent="0.2">
      <c r="A133" s="94">
        <v>87775</v>
      </c>
      <c r="B133" s="73" t="s">
        <v>245</v>
      </c>
      <c r="C133" s="74" t="s">
        <v>228</v>
      </c>
      <c r="D133" s="73" t="s">
        <v>14</v>
      </c>
      <c r="E133" s="75">
        <v>184.11</v>
      </c>
      <c r="F133" s="75"/>
      <c r="G133" s="75"/>
      <c r="H133" s="75">
        <f>ROUND(R133*$R$12,2)</f>
        <v>37.78</v>
      </c>
      <c r="I133" s="75">
        <f>ROUND(H133*(1+$S$1),2)</f>
        <v>48.2</v>
      </c>
      <c r="J133" s="76">
        <f>ROUND(E133*H133,2)</f>
        <v>6955.68</v>
      </c>
      <c r="K133" s="76">
        <f>ROUND(E133*I133,2)</f>
        <v>8874.1</v>
      </c>
      <c r="L133" s="76"/>
      <c r="M133" s="76"/>
      <c r="N133" s="76"/>
      <c r="O133" s="51"/>
      <c r="R133" s="53">
        <v>37.78</v>
      </c>
    </row>
    <row r="134" spans="1:18" s="56" customFormat="1" ht="12" x14ac:dyDescent="0.2">
      <c r="A134" s="73" t="s">
        <v>229</v>
      </c>
      <c r="B134" s="73" t="s">
        <v>246</v>
      </c>
      <c r="C134" s="74" t="s">
        <v>231</v>
      </c>
      <c r="D134" s="73" t="s">
        <v>14</v>
      </c>
      <c r="E134" s="75">
        <v>230.62</v>
      </c>
      <c r="F134" s="75"/>
      <c r="G134" s="75"/>
      <c r="H134" s="75">
        <f>ROUND(R134*$R$12,2)</f>
        <v>21.63</v>
      </c>
      <c r="I134" s="75">
        <f>ROUND(H134*(1+$S$1),2)</f>
        <v>27.6</v>
      </c>
      <c r="J134" s="76">
        <f>ROUND(E134*H134,2)</f>
        <v>4988.3100000000004</v>
      </c>
      <c r="K134" s="76">
        <f>ROUND(E134*I134,2)</f>
        <v>6365.11</v>
      </c>
      <c r="L134" s="76"/>
      <c r="M134" s="76"/>
      <c r="N134" s="76"/>
      <c r="O134" s="51"/>
      <c r="R134" s="53">
        <v>21.63</v>
      </c>
    </row>
    <row r="135" spans="1:18" s="56" customFormat="1" ht="12" x14ac:dyDescent="0.2">
      <c r="A135" s="73" t="s">
        <v>247</v>
      </c>
      <c r="B135" s="73" t="s">
        <v>248</v>
      </c>
      <c r="C135" s="74" t="s">
        <v>249</v>
      </c>
      <c r="D135" s="73" t="s">
        <v>14</v>
      </c>
      <c r="E135" s="75">
        <v>460.27</v>
      </c>
      <c r="F135" s="75"/>
      <c r="G135" s="75"/>
      <c r="H135" s="75">
        <f>ROUND(R135*$R$12,2)</f>
        <v>38.770000000000003</v>
      </c>
      <c r="I135" s="75">
        <f>ROUND(H135*(1+$S$1),2)</f>
        <v>49.47</v>
      </c>
      <c r="J135" s="76">
        <f>ROUND(E135*H135,2)</f>
        <v>17844.669999999998</v>
      </c>
      <c r="K135" s="76">
        <f>ROUND(E135*I135,2)</f>
        <v>22769.56</v>
      </c>
      <c r="L135" s="76"/>
      <c r="M135" s="76"/>
      <c r="N135" s="76"/>
      <c r="O135" s="51"/>
      <c r="R135" s="53">
        <v>38.770000000000003</v>
      </c>
    </row>
    <row r="136" spans="1:18" s="56" customFormat="1" ht="12" x14ac:dyDescent="0.2">
      <c r="A136" s="72"/>
      <c r="B136" s="71"/>
      <c r="C136" s="71"/>
      <c r="D136" s="71"/>
      <c r="E136" s="71"/>
      <c r="F136" s="71"/>
      <c r="G136" s="71"/>
      <c r="H136" s="75"/>
      <c r="I136" s="77" t="s">
        <v>250</v>
      </c>
      <c r="J136" s="78">
        <f>SUM(J132:J135)</f>
        <v>32198.239999999998</v>
      </c>
      <c r="K136" s="78">
        <f>SUM(K132:K135)</f>
        <v>41081.919999999998</v>
      </c>
      <c r="L136" s="78"/>
      <c r="M136" s="78"/>
      <c r="N136" s="78"/>
      <c r="O136" s="60"/>
      <c r="R136" s="59"/>
    </row>
    <row r="137" spans="1:18" s="56" customFormat="1" ht="12" x14ac:dyDescent="0.2">
      <c r="A137" s="72"/>
      <c r="B137" s="71"/>
      <c r="C137" s="71"/>
      <c r="D137" s="71"/>
      <c r="E137" s="71"/>
      <c r="F137" s="71"/>
      <c r="G137" s="71"/>
      <c r="H137" s="75"/>
      <c r="I137" s="77" t="s">
        <v>251</v>
      </c>
      <c r="J137" s="78">
        <f>SUM(J129,J136)</f>
        <v>92295.76999999999</v>
      </c>
      <c r="K137" s="78">
        <f>SUM(K129,K136)</f>
        <v>117763.65</v>
      </c>
      <c r="L137" s="78"/>
      <c r="M137" s="78"/>
      <c r="N137" s="78"/>
      <c r="O137" s="60"/>
      <c r="R137" s="59"/>
    </row>
    <row r="138" spans="1:18" s="56" customFormat="1" ht="12" x14ac:dyDescent="0.2">
      <c r="A138" s="72"/>
      <c r="B138" s="70" t="s">
        <v>252</v>
      </c>
      <c r="C138" s="71" t="s">
        <v>253</v>
      </c>
      <c r="D138" s="71"/>
      <c r="E138" s="71"/>
      <c r="F138" s="71"/>
      <c r="G138" s="71"/>
      <c r="H138" s="75"/>
      <c r="I138" s="71"/>
      <c r="J138" s="71"/>
      <c r="K138" s="72"/>
      <c r="L138" s="72"/>
      <c r="M138" s="72"/>
      <c r="N138" s="72"/>
      <c r="O138" s="52"/>
      <c r="R138" s="59"/>
    </row>
    <row r="139" spans="1:18" s="56" customFormat="1" ht="24" x14ac:dyDescent="0.2">
      <c r="A139" s="94">
        <v>98572</v>
      </c>
      <c r="B139" s="73" t="s">
        <v>254</v>
      </c>
      <c r="C139" s="74" t="s">
        <v>255</v>
      </c>
      <c r="D139" s="73" t="s">
        <v>14</v>
      </c>
      <c r="E139" s="76">
        <v>1707</v>
      </c>
      <c r="F139" s="76"/>
      <c r="G139" s="76"/>
      <c r="H139" s="75">
        <f t="shared" ref="H139:H145" si="23">ROUND(R139*$R$12,2)</f>
        <v>29.86</v>
      </c>
      <c r="I139" s="75">
        <f t="shared" ref="I139:I145" si="24">ROUND(H139*(1+$S$1),2)</f>
        <v>38.1</v>
      </c>
      <c r="J139" s="76">
        <f t="shared" ref="J139:J145" si="25">ROUND(E139*H139,2)</f>
        <v>50971.02</v>
      </c>
      <c r="K139" s="76">
        <f t="shared" ref="K139:K145" si="26">ROUND(E139*I139,2)</f>
        <v>65036.7</v>
      </c>
      <c r="L139" s="76"/>
      <c r="M139" s="76"/>
      <c r="N139" s="76"/>
      <c r="O139" s="51"/>
      <c r="R139" s="53">
        <v>29.86</v>
      </c>
    </row>
    <row r="140" spans="1:18" s="56" customFormat="1" ht="12" x14ac:dyDescent="0.2">
      <c r="A140" s="94">
        <v>98560</v>
      </c>
      <c r="B140" s="73" t="s">
        <v>256</v>
      </c>
      <c r="C140" s="74" t="s">
        <v>257</v>
      </c>
      <c r="D140" s="73" t="s">
        <v>14</v>
      </c>
      <c r="E140" s="76">
        <v>1304.0999999999999</v>
      </c>
      <c r="F140" s="76"/>
      <c r="G140" s="76"/>
      <c r="H140" s="75">
        <f t="shared" si="23"/>
        <v>32.090000000000003</v>
      </c>
      <c r="I140" s="75">
        <f t="shared" si="24"/>
        <v>40.94</v>
      </c>
      <c r="J140" s="76">
        <f t="shared" si="25"/>
        <v>41848.57</v>
      </c>
      <c r="K140" s="76">
        <f t="shared" si="26"/>
        <v>53389.85</v>
      </c>
      <c r="L140" s="76"/>
      <c r="M140" s="76"/>
      <c r="N140" s="76"/>
      <c r="O140" s="51"/>
      <c r="R140" s="53">
        <v>32.090000000000003</v>
      </c>
    </row>
    <row r="141" spans="1:18" s="56" customFormat="1" ht="12" x14ac:dyDescent="0.2">
      <c r="A141" s="94">
        <v>92391</v>
      </c>
      <c r="B141" s="73" t="s">
        <v>258</v>
      </c>
      <c r="C141" s="74" t="s">
        <v>259</v>
      </c>
      <c r="D141" s="73" t="s">
        <v>14</v>
      </c>
      <c r="E141" s="75">
        <v>224</v>
      </c>
      <c r="F141" s="75"/>
      <c r="G141" s="75"/>
      <c r="H141" s="75">
        <f t="shared" si="23"/>
        <v>46.88</v>
      </c>
      <c r="I141" s="75">
        <f t="shared" si="24"/>
        <v>59.81</v>
      </c>
      <c r="J141" s="76">
        <f t="shared" si="25"/>
        <v>10501.12</v>
      </c>
      <c r="K141" s="76">
        <f t="shared" si="26"/>
        <v>13397.44</v>
      </c>
      <c r="L141" s="76"/>
      <c r="M141" s="76"/>
      <c r="N141" s="76"/>
      <c r="O141" s="51"/>
      <c r="R141" s="53">
        <v>46.88</v>
      </c>
    </row>
    <row r="142" spans="1:18" s="56" customFormat="1" ht="12" x14ac:dyDescent="0.2">
      <c r="A142" s="73" t="s">
        <v>260</v>
      </c>
      <c r="B142" s="73" t="s">
        <v>261</v>
      </c>
      <c r="C142" s="74" t="s">
        <v>262</v>
      </c>
      <c r="D142" s="73" t="s">
        <v>14</v>
      </c>
      <c r="E142" s="75">
        <v>36</v>
      </c>
      <c r="F142" s="75"/>
      <c r="G142" s="75"/>
      <c r="H142" s="75">
        <f t="shared" si="23"/>
        <v>31.2</v>
      </c>
      <c r="I142" s="75">
        <f t="shared" si="24"/>
        <v>39.81</v>
      </c>
      <c r="J142" s="76">
        <f t="shared" si="25"/>
        <v>1123.2</v>
      </c>
      <c r="K142" s="76">
        <f t="shared" si="26"/>
        <v>1433.16</v>
      </c>
      <c r="L142" s="76"/>
      <c r="M142" s="76"/>
      <c r="N142" s="76"/>
      <c r="O142" s="51"/>
      <c r="R142" s="53">
        <v>31.2</v>
      </c>
    </row>
    <row r="143" spans="1:18" s="56" customFormat="1" ht="12" x14ac:dyDescent="0.2">
      <c r="A143" s="94">
        <v>88477</v>
      </c>
      <c r="B143" s="73" t="s">
        <v>265</v>
      </c>
      <c r="C143" s="74" t="s">
        <v>264</v>
      </c>
      <c r="D143" s="73" t="s">
        <v>14</v>
      </c>
      <c r="E143" s="75">
        <v>470</v>
      </c>
      <c r="F143" s="75"/>
      <c r="G143" s="75"/>
      <c r="H143" s="75">
        <f t="shared" si="23"/>
        <v>19.170000000000002</v>
      </c>
      <c r="I143" s="75">
        <f t="shared" si="24"/>
        <v>24.46</v>
      </c>
      <c r="J143" s="76">
        <f t="shared" si="25"/>
        <v>9009.9</v>
      </c>
      <c r="K143" s="76">
        <f t="shared" si="26"/>
        <v>11496.2</v>
      </c>
      <c r="L143" s="76"/>
      <c r="M143" s="76"/>
      <c r="N143" s="76"/>
      <c r="O143" s="51"/>
      <c r="R143" s="53">
        <v>19.170000000000002</v>
      </c>
    </row>
    <row r="144" spans="1:18" s="56" customFormat="1" ht="24" x14ac:dyDescent="0.2">
      <c r="A144" s="94">
        <v>84191</v>
      </c>
      <c r="B144" s="73" t="s">
        <v>268</v>
      </c>
      <c r="C144" s="74" t="s">
        <v>266</v>
      </c>
      <c r="D144" s="73" t="s">
        <v>14</v>
      </c>
      <c r="E144" s="75">
        <v>885</v>
      </c>
      <c r="F144" s="75"/>
      <c r="G144" s="75"/>
      <c r="H144" s="75">
        <f t="shared" si="23"/>
        <v>98.11</v>
      </c>
      <c r="I144" s="75">
        <f t="shared" si="24"/>
        <v>125.18</v>
      </c>
      <c r="J144" s="76">
        <f t="shared" si="25"/>
        <v>86827.35</v>
      </c>
      <c r="K144" s="76">
        <f t="shared" si="26"/>
        <v>110784.3</v>
      </c>
      <c r="L144" s="76"/>
      <c r="M144" s="76"/>
      <c r="N144" s="76"/>
      <c r="O144" s="51"/>
      <c r="R144" s="53">
        <v>98.11</v>
      </c>
    </row>
    <row r="145" spans="1:18" s="56" customFormat="1" ht="12" x14ac:dyDescent="0.2">
      <c r="A145" s="73" t="s">
        <v>267</v>
      </c>
      <c r="B145" s="73" t="s">
        <v>1268</v>
      </c>
      <c r="C145" s="74" t="s">
        <v>269</v>
      </c>
      <c r="D145" s="73" t="s">
        <v>81</v>
      </c>
      <c r="E145" s="75">
        <v>77</v>
      </c>
      <c r="F145" s="75"/>
      <c r="G145" s="75"/>
      <c r="H145" s="75">
        <f t="shared" si="23"/>
        <v>174.65</v>
      </c>
      <c r="I145" s="75">
        <f t="shared" si="24"/>
        <v>222.84</v>
      </c>
      <c r="J145" s="76">
        <f t="shared" si="25"/>
        <v>13448.05</v>
      </c>
      <c r="K145" s="76">
        <f t="shared" si="26"/>
        <v>17158.68</v>
      </c>
      <c r="L145" s="76"/>
      <c r="M145" s="76"/>
      <c r="N145" s="76"/>
      <c r="O145" s="51"/>
      <c r="R145" s="53">
        <v>174.65</v>
      </c>
    </row>
    <row r="146" spans="1:18" s="56" customFormat="1" ht="12" x14ac:dyDescent="0.2">
      <c r="A146" s="72"/>
      <c r="B146" s="71"/>
      <c r="C146" s="71"/>
      <c r="D146" s="71"/>
      <c r="E146" s="71"/>
      <c r="F146" s="71"/>
      <c r="G146" s="71"/>
      <c r="H146" s="75"/>
      <c r="I146" s="77" t="s">
        <v>270</v>
      </c>
      <c r="J146" s="78">
        <f>SUM(J139:J145)</f>
        <v>213729.20999999996</v>
      </c>
      <c r="K146" s="78">
        <f>SUM(K139:K145)</f>
        <v>272696.33</v>
      </c>
      <c r="L146" s="78"/>
      <c r="M146" s="78"/>
      <c r="N146" s="78"/>
      <c r="O146" s="60"/>
      <c r="P146" s="58"/>
      <c r="R146" s="59"/>
    </row>
    <row r="147" spans="1:18" s="56" customFormat="1" ht="12" x14ac:dyDescent="0.2">
      <c r="A147" s="72"/>
      <c r="B147" s="70" t="s">
        <v>271</v>
      </c>
      <c r="C147" s="71" t="s">
        <v>272</v>
      </c>
      <c r="D147" s="71"/>
      <c r="E147" s="71"/>
      <c r="F147" s="71"/>
      <c r="G147" s="71"/>
      <c r="H147" s="75"/>
      <c r="I147" s="71"/>
      <c r="J147" s="71"/>
      <c r="K147" s="72"/>
      <c r="L147" s="72"/>
      <c r="M147" s="72"/>
      <c r="N147" s="72"/>
      <c r="O147" s="52"/>
      <c r="R147" s="59"/>
    </row>
    <row r="148" spans="1:18" s="56" customFormat="1" ht="12" x14ac:dyDescent="0.2">
      <c r="A148" s="73" t="s">
        <v>273</v>
      </c>
      <c r="B148" s="73" t="s">
        <v>274</v>
      </c>
      <c r="C148" s="74" t="s">
        <v>275</v>
      </c>
      <c r="D148" s="73" t="s">
        <v>81</v>
      </c>
      <c r="E148" s="75">
        <v>32.799999999999997</v>
      </c>
      <c r="F148" s="75"/>
      <c r="G148" s="75"/>
      <c r="H148" s="75">
        <f>ROUND(R148*$R$12,2)</f>
        <v>33.909999999999997</v>
      </c>
      <c r="I148" s="75">
        <f>ROUND(H148*(1+$S$1),2)</f>
        <v>43.27</v>
      </c>
      <c r="J148" s="76">
        <f>ROUND(E148*H148,2)</f>
        <v>1112.25</v>
      </c>
      <c r="K148" s="76">
        <f>ROUND(E148*I148,2)</f>
        <v>1419.26</v>
      </c>
      <c r="L148" s="76"/>
      <c r="M148" s="76"/>
      <c r="N148" s="76"/>
      <c r="O148" s="51"/>
      <c r="R148" s="53">
        <v>33.909999999999997</v>
      </c>
    </row>
    <row r="149" spans="1:18" s="56" customFormat="1" ht="12" x14ac:dyDescent="0.2">
      <c r="A149" s="94">
        <v>96467</v>
      </c>
      <c r="B149" s="73" t="s">
        <v>276</v>
      </c>
      <c r="C149" s="74" t="s">
        <v>277</v>
      </c>
      <c r="D149" s="73" t="s">
        <v>81</v>
      </c>
      <c r="E149" s="75">
        <v>648</v>
      </c>
      <c r="F149" s="75"/>
      <c r="G149" s="75"/>
      <c r="H149" s="75">
        <f>ROUND(R149*$R$12,2)</f>
        <v>4.1100000000000003</v>
      </c>
      <c r="I149" s="75">
        <f>ROUND(H149*(1+$S$1),2)</f>
        <v>5.24</v>
      </c>
      <c r="J149" s="76">
        <f>ROUND(E149*H149,2)</f>
        <v>2663.28</v>
      </c>
      <c r="K149" s="76">
        <f>ROUND(E149*I149,2)</f>
        <v>3395.52</v>
      </c>
      <c r="L149" s="76"/>
      <c r="M149" s="76"/>
      <c r="N149" s="76"/>
      <c r="O149" s="51"/>
      <c r="R149" s="53">
        <v>4.1100000000000003</v>
      </c>
    </row>
    <row r="150" spans="1:18" s="56" customFormat="1" ht="12" x14ac:dyDescent="0.2">
      <c r="A150" s="73" t="s">
        <v>78</v>
      </c>
      <c r="B150" s="73" t="s">
        <v>278</v>
      </c>
      <c r="C150" s="74" t="s">
        <v>279</v>
      </c>
      <c r="D150" s="73" t="s">
        <v>81</v>
      </c>
      <c r="E150" s="75">
        <v>100</v>
      </c>
      <c r="F150" s="75"/>
      <c r="G150" s="75"/>
      <c r="H150" s="75">
        <f>ROUND(R150*$R$12,2)</f>
        <v>9.81</v>
      </c>
      <c r="I150" s="75">
        <f>ROUND(H150*(1+$S$1),2)</f>
        <v>12.52</v>
      </c>
      <c r="J150" s="76">
        <f>ROUND(E150*H150,2)</f>
        <v>981</v>
      </c>
      <c r="K150" s="76">
        <f>ROUND(E150*I150,2)</f>
        <v>1252</v>
      </c>
      <c r="L150" s="76"/>
      <c r="M150" s="76"/>
      <c r="N150" s="76"/>
      <c r="O150" s="51"/>
      <c r="R150" s="53">
        <v>9.81</v>
      </c>
    </row>
    <row r="151" spans="1:18" s="56" customFormat="1" ht="12" x14ac:dyDescent="0.2">
      <c r="A151" s="73" t="s">
        <v>280</v>
      </c>
      <c r="B151" s="73" t="s">
        <v>281</v>
      </c>
      <c r="C151" s="74" t="s">
        <v>282</v>
      </c>
      <c r="D151" s="73" t="s">
        <v>81</v>
      </c>
      <c r="E151" s="75">
        <v>548</v>
      </c>
      <c r="F151" s="75"/>
      <c r="G151" s="75"/>
      <c r="H151" s="75">
        <f>ROUND(R151*$R$12,2)</f>
        <v>12.72</v>
      </c>
      <c r="I151" s="75">
        <f>ROUND(H151*(1+$S$1),2)</f>
        <v>16.23</v>
      </c>
      <c r="J151" s="76">
        <f>ROUND(E151*H151,2)</f>
        <v>6970.56</v>
      </c>
      <c r="K151" s="76">
        <f>ROUND(E151*I151,2)</f>
        <v>8894.0400000000009</v>
      </c>
      <c r="L151" s="76"/>
      <c r="M151" s="76"/>
      <c r="N151" s="76"/>
      <c r="O151" s="51"/>
      <c r="R151" s="53">
        <v>12.72</v>
      </c>
    </row>
    <row r="152" spans="1:18" s="56" customFormat="1" ht="12" x14ac:dyDescent="0.2">
      <c r="A152" s="72"/>
      <c r="B152" s="71"/>
      <c r="C152" s="71"/>
      <c r="D152" s="71"/>
      <c r="E152" s="71"/>
      <c r="F152" s="71"/>
      <c r="G152" s="71"/>
      <c r="H152" s="75"/>
      <c r="I152" s="77" t="s">
        <v>283</v>
      </c>
      <c r="J152" s="78">
        <f>SUM(J148:J151)</f>
        <v>11727.09</v>
      </c>
      <c r="K152" s="78">
        <f>SUM(K148:K151)</f>
        <v>14960.82</v>
      </c>
      <c r="L152" s="78"/>
      <c r="M152" s="78"/>
      <c r="N152" s="78"/>
      <c r="O152" s="60"/>
      <c r="P152" s="58"/>
      <c r="R152" s="59"/>
    </row>
    <row r="153" spans="1:18" s="56" customFormat="1" ht="12" x14ac:dyDescent="0.2">
      <c r="A153" s="72"/>
      <c r="B153" s="70" t="s">
        <v>284</v>
      </c>
      <c r="C153" s="71" t="s">
        <v>285</v>
      </c>
      <c r="D153" s="71"/>
      <c r="E153" s="71"/>
      <c r="F153" s="71"/>
      <c r="G153" s="71"/>
      <c r="H153" s="75"/>
      <c r="I153" s="71"/>
      <c r="J153" s="71"/>
      <c r="K153" s="72"/>
      <c r="L153" s="72"/>
      <c r="M153" s="72"/>
      <c r="N153" s="72"/>
      <c r="O153" s="52"/>
      <c r="R153" s="59"/>
    </row>
    <row r="154" spans="1:18" s="56" customFormat="1" ht="12" x14ac:dyDescent="0.2">
      <c r="A154" s="72"/>
      <c r="B154" s="79">
        <v>12.1</v>
      </c>
      <c r="C154" s="71" t="s">
        <v>286</v>
      </c>
      <c r="D154" s="72"/>
      <c r="E154" s="72"/>
      <c r="F154" s="72"/>
      <c r="G154" s="72"/>
      <c r="H154" s="75"/>
      <c r="I154" s="72"/>
      <c r="J154" s="72"/>
      <c r="K154" s="72"/>
      <c r="L154" s="72"/>
      <c r="M154" s="72"/>
      <c r="N154" s="72"/>
      <c r="O154" s="52"/>
      <c r="R154" s="52"/>
    </row>
    <row r="155" spans="1:18" s="56" customFormat="1" ht="12" x14ac:dyDescent="0.2">
      <c r="A155" s="94">
        <v>88489</v>
      </c>
      <c r="B155" s="80">
        <v>40909</v>
      </c>
      <c r="C155" s="74" t="s">
        <v>287</v>
      </c>
      <c r="D155" s="73" t="s">
        <v>14</v>
      </c>
      <c r="E155" s="75">
        <v>638.78</v>
      </c>
      <c r="F155" s="75"/>
      <c r="G155" s="75"/>
      <c r="H155" s="75">
        <f>ROUND(R155*$R$12,2)</f>
        <v>8.41</v>
      </c>
      <c r="I155" s="75">
        <f>ROUND(H155*(1+$S$1),2)</f>
        <v>10.73</v>
      </c>
      <c r="J155" s="76">
        <f>ROUND(E155*H155,2)</f>
        <v>5372.14</v>
      </c>
      <c r="K155" s="76">
        <f>ROUND(E155*I155,2)</f>
        <v>6854.11</v>
      </c>
      <c r="L155" s="76"/>
      <c r="M155" s="76"/>
      <c r="N155" s="76"/>
      <c r="O155" s="51"/>
      <c r="R155" s="53">
        <v>8.41</v>
      </c>
    </row>
    <row r="156" spans="1:18" s="56" customFormat="1" ht="24" x14ac:dyDescent="0.2">
      <c r="A156" s="94">
        <v>88497</v>
      </c>
      <c r="B156" s="80">
        <v>40910</v>
      </c>
      <c r="C156" s="74" t="s">
        <v>288</v>
      </c>
      <c r="D156" s="73" t="s">
        <v>14</v>
      </c>
      <c r="E156" s="75">
        <v>638.78</v>
      </c>
      <c r="F156" s="75"/>
      <c r="G156" s="75"/>
      <c r="H156" s="75">
        <f>ROUND(R156*$R$12,2)</f>
        <v>9.49</v>
      </c>
      <c r="I156" s="75">
        <f>ROUND(H156*(1+$S$1),2)</f>
        <v>12.11</v>
      </c>
      <c r="J156" s="76">
        <f>ROUND(E156*H156,2)</f>
        <v>6062.02</v>
      </c>
      <c r="K156" s="76">
        <f>ROUND(E156*I156,2)</f>
        <v>7735.63</v>
      </c>
      <c r="L156" s="76"/>
      <c r="M156" s="76"/>
      <c r="N156" s="76"/>
      <c r="O156" s="51"/>
      <c r="R156" s="53">
        <v>9.49</v>
      </c>
    </row>
    <row r="157" spans="1:18" s="56" customFormat="1" ht="12" x14ac:dyDescent="0.2">
      <c r="A157" s="94">
        <v>88487</v>
      </c>
      <c r="B157" s="80">
        <v>40911</v>
      </c>
      <c r="C157" s="74" t="s">
        <v>289</v>
      </c>
      <c r="D157" s="73" t="s">
        <v>14</v>
      </c>
      <c r="E157" s="75">
        <v>77.3</v>
      </c>
      <c r="F157" s="75"/>
      <c r="G157" s="75"/>
      <c r="H157" s="75">
        <f>ROUND(R157*$R$12,2)</f>
        <v>6.56</v>
      </c>
      <c r="I157" s="75">
        <f>ROUND(H157*(1+$S$1),2)</f>
        <v>8.3699999999999992</v>
      </c>
      <c r="J157" s="76">
        <f>ROUND(E157*H157,2)</f>
        <v>507.09</v>
      </c>
      <c r="K157" s="76">
        <f>ROUND(E157*I157,2)</f>
        <v>647</v>
      </c>
      <c r="L157" s="76"/>
      <c r="M157" s="76"/>
      <c r="N157" s="76"/>
      <c r="O157" s="51"/>
      <c r="R157" s="53">
        <v>6.56</v>
      </c>
    </row>
    <row r="158" spans="1:18" s="56" customFormat="1" ht="12" x14ac:dyDescent="0.2">
      <c r="A158" s="72"/>
      <c r="B158" s="70" t="s">
        <v>290</v>
      </c>
      <c r="C158" s="71" t="s">
        <v>291</v>
      </c>
      <c r="D158" s="71"/>
      <c r="E158" s="71"/>
      <c r="F158" s="71"/>
      <c r="G158" s="71"/>
      <c r="H158" s="75"/>
      <c r="I158" s="72"/>
      <c r="J158" s="72"/>
      <c r="K158" s="72"/>
      <c r="L158" s="72"/>
      <c r="M158" s="72"/>
      <c r="N158" s="72"/>
      <c r="O158" s="52"/>
      <c r="R158" s="59"/>
    </row>
    <row r="159" spans="1:18" s="56" customFormat="1" ht="12" x14ac:dyDescent="0.2">
      <c r="A159" s="94">
        <v>88489</v>
      </c>
      <c r="B159" s="80">
        <v>40940</v>
      </c>
      <c r="C159" s="74" t="s">
        <v>287</v>
      </c>
      <c r="D159" s="73" t="s">
        <v>14</v>
      </c>
      <c r="E159" s="75">
        <v>606.17999999999995</v>
      </c>
      <c r="F159" s="75"/>
      <c r="G159" s="75"/>
      <c r="H159" s="75">
        <f>ROUND(R159*$R$12,2)</f>
        <v>8.41</v>
      </c>
      <c r="I159" s="75">
        <f>ROUND(H159*(1+$S$1),2)</f>
        <v>10.73</v>
      </c>
      <c r="J159" s="76">
        <f>ROUND(E159*H159,2)</f>
        <v>5097.97</v>
      </c>
      <c r="K159" s="76">
        <f>ROUND(E159*I159,2)</f>
        <v>6504.31</v>
      </c>
      <c r="L159" s="76"/>
      <c r="M159" s="76"/>
      <c r="N159" s="76"/>
      <c r="O159" s="51"/>
      <c r="R159" s="53">
        <v>8.41</v>
      </c>
    </row>
    <row r="160" spans="1:18" s="56" customFormat="1" ht="12" x14ac:dyDescent="0.2">
      <c r="A160" s="72"/>
      <c r="B160" s="70" t="s">
        <v>292</v>
      </c>
      <c r="C160" s="71" t="s">
        <v>235</v>
      </c>
      <c r="D160" s="71"/>
      <c r="E160" s="71"/>
      <c r="F160" s="71"/>
      <c r="G160" s="71"/>
      <c r="H160" s="75"/>
      <c r="I160" s="72"/>
      <c r="J160" s="72"/>
      <c r="K160" s="72"/>
      <c r="L160" s="72"/>
      <c r="M160" s="72"/>
      <c r="N160" s="72"/>
      <c r="O160" s="52"/>
      <c r="R160" s="59"/>
    </row>
    <row r="161" spans="1:18" s="56" customFormat="1" ht="12" x14ac:dyDescent="0.2">
      <c r="A161" s="94">
        <v>88487</v>
      </c>
      <c r="B161" s="73" t="s">
        <v>293</v>
      </c>
      <c r="C161" s="74" t="s">
        <v>289</v>
      </c>
      <c r="D161" s="73" t="s">
        <v>14</v>
      </c>
      <c r="E161" s="75">
        <v>732.68</v>
      </c>
      <c r="F161" s="75"/>
      <c r="G161" s="75"/>
      <c r="H161" s="75">
        <f>ROUND(R161*$R$12,2)</f>
        <v>6.56</v>
      </c>
      <c r="I161" s="75">
        <f>ROUND(H161*(1+$S$1),2)</f>
        <v>8.3699999999999992</v>
      </c>
      <c r="J161" s="76">
        <f>ROUND(E161*H161,2)</f>
        <v>4806.38</v>
      </c>
      <c r="K161" s="76">
        <f>ROUND(E161*I161,2)</f>
        <v>6132.53</v>
      </c>
      <c r="L161" s="76"/>
      <c r="M161" s="76"/>
      <c r="N161" s="76"/>
      <c r="O161" s="51"/>
      <c r="R161" s="53">
        <v>6.56</v>
      </c>
    </row>
    <row r="162" spans="1:18" s="56" customFormat="1" ht="24" x14ac:dyDescent="0.2">
      <c r="A162" s="94">
        <v>88497</v>
      </c>
      <c r="B162" s="73" t="s">
        <v>294</v>
      </c>
      <c r="C162" s="74" t="s">
        <v>288</v>
      </c>
      <c r="D162" s="73" t="s">
        <v>14</v>
      </c>
      <c r="E162" s="75">
        <v>732.68</v>
      </c>
      <c r="F162" s="75"/>
      <c r="G162" s="75"/>
      <c r="H162" s="75">
        <f>ROUND(R162*$R$12,2)</f>
        <v>9.49</v>
      </c>
      <c r="I162" s="75">
        <f>ROUND(H162*(1+$S$1),2)</f>
        <v>12.11</v>
      </c>
      <c r="J162" s="76">
        <f>ROUND(E162*H162,2)</f>
        <v>6953.13</v>
      </c>
      <c r="K162" s="76">
        <f>ROUND(E162*I162,2)</f>
        <v>8872.75</v>
      </c>
      <c r="L162" s="76"/>
      <c r="M162" s="76"/>
      <c r="N162" s="76"/>
      <c r="O162" s="51"/>
      <c r="R162" s="53">
        <v>9.49</v>
      </c>
    </row>
    <row r="163" spans="1:18" s="56" customFormat="1" ht="12" x14ac:dyDescent="0.2">
      <c r="A163" s="72"/>
      <c r="B163" s="70" t="s">
        <v>295</v>
      </c>
      <c r="C163" s="71" t="s">
        <v>296</v>
      </c>
      <c r="D163" s="71"/>
      <c r="E163" s="71"/>
      <c r="F163" s="71"/>
      <c r="G163" s="71"/>
      <c r="H163" s="75"/>
      <c r="I163" s="72"/>
      <c r="J163" s="72"/>
      <c r="K163" s="72"/>
      <c r="L163" s="72"/>
      <c r="M163" s="72"/>
      <c r="N163" s="72"/>
      <c r="O163" s="52"/>
      <c r="R163" s="59"/>
    </row>
    <row r="164" spans="1:18" s="56" customFormat="1" ht="12" x14ac:dyDescent="0.2">
      <c r="A164" s="73" t="s">
        <v>297</v>
      </c>
      <c r="B164" s="80">
        <v>41000</v>
      </c>
      <c r="C164" s="74" t="s">
        <v>298</v>
      </c>
      <c r="D164" s="73" t="s">
        <v>14</v>
      </c>
      <c r="E164" s="75">
        <v>257.60000000000002</v>
      </c>
      <c r="F164" s="75"/>
      <c r="G164" s="75"/>
      <c r="H164" s="75">
        <f>ROUND(R164*$R$12,2)</f>
        <v>13.87</v>
      </c>
      <c r="I164" s="75">
        <f>ROUND(H164*(1+$S$1),2)</f>
        <v>17.7</v>
      </c>
      <c r="J164" s="76">
        <f>ROUND(E164*H164,2)</f>
        <v>3572.91</v>
      </c>
      <c r="K164" s="76">
        <f>ROUND(E164*I164,2)</f>
        <v>4559.5200000000004</v>
      </c>
      <c r="L164" s="76"/>
      <c r="M164" s="76"/>
      <c r="N164" s="76"/>
      <c r="O164" s="51"/>
      <c r="R164" s="53">
        <v>13.87</v>
      </c>
    </row>
    <row r="165" spans="1:18" s="56" customFormat="1" ht="12" x14ac:dyDescent="0.2">
      <c r="A165" s="94">
        <v>40905</v>
      </c>
      <c r="B165" s="80">
        <v>41001</v>
      </c>
      <c r="C165" s="74" t="s">
        <v>299</v>
      </c>
      <c r="D165" s="73" t="s">
        <v>14</v>
      </c>
      <c r="E165" s="75">
        <v>54.8</v>
      </c>
      <c r="F165" s="75"/>
      <c r="G165" s="75"/>
      <c r="H165" s="75">
        <f>ROUND(R165*$R$12,2)</f>
        <v>16.510000000000002</v>
      </c>
      <c r="I165" s="75">
        <f>ROUND(H165*(1+$S$1),2)</f>
        <v>21.07</v>
      </c>
      <c r="J165" s="76">
        <f>ROUND(E165*H165,2)</f>
        <v>904.75</v>
      </c>
      <c r="K165" s="76">
        <f>ROUND(E165*I165,2)</f>
        <v>1154.6400000000001</v>
      </c>
      <c r="L165" s="76"/>
      <c r="M165" s="76"/>
      <c r="N165" s="76"/>
      <c r="O165" s="51"/>
      <c r="R165" s="53">
        <v>16.510000000000002</v>
      </c>
    </row>
    <row r="166" spans="1:18" s="56" customFormat="1" ht="12" x14ac:dyDescent="0.2">
      <c r="A166" s="73" t="s">
        <v>300</v>
      </c>
      <c r="B166" s="80">
        <v>41002</v>
      </c>
      <c r="C166" s="74" t="s">
        <v>301</v>
      </c>
      <c r="D166" s="73" t="s">
        <v>14</v>
      </c>
      <c r="E166" s="75">
        <v>170.5</v>
      </c>
      <c r="F166" s="75"/>
      <c r="G166" s="75"/>
      <c r="H166" s="75">
        <f>ROUND(R166*$R$12,2)</f>
        <v>20.6</v>
      </c>
      <c r="I166" s="75">
        <f>ROUND(H166*(1+$S$1),2)</f>
        <v>26.28</v>
      </c>
      <c r="J166" s="76">
        <f>ROUND(E166*H166,2)</f>
        <v>3512.3</v>
      </c>
      <c r="K166" s="76">
        <f>ROUND(E166*I166,2)</f>
        <v>4480.74</v>
      </c>
      <c r="L166" s="76"/>
      <c r="M166" s="76"/>
      <c r="N166" s="76"/>
      <c r="O166" s="51"/>
      <c r="R166" s="53">
        <v>20.6</v>
      </c>
    </row>
    <row r="167" spans="1:18" s="56" customFormat="1" ht="12" x14ac:dyDescent="0.2">
      <c r="A167" s="72"/>
      <c r="B167" s="71"/>
      <c r="C167" s="71"/>
      <c r="D167" s="71"/>
      <c r="E167" s="71"/>
      <c r="F167" s="71"/>
      <c r="G167" s="71"/>
      <c r="H167" s="75"/>
      <c r="I167" s="77" t="s">
        <v>302</v>
      </c>
      <c r="J167" s="78">
        <f>SUM(J155:J166)</f>
        <v>36788.69</v>
      </c>
      <c r="K167" s="78">
        <f>SUM(K155:K166)</f>
        <v>46941.23</v>
      </c>
      <c r="L167" s="78"/>
      <c r="M167" s="78"/>
      <c r="N167" s="78"/>
      <c r="O167" s="60"/>
      <c r="R167" s="59"/>
    </row>
    <row r="168" spans="1:18" s="56" customFormat="1" ht="12" x14ac:dyDescent="0.2">
      <c r="A168" s="72"/>
      <c r="B168" s="70" t="s">
        <v>303</v>
      </c>
      <c r="C168" s="71" t="s">
        <v>304</v>
      </c>
      <c r="D168" s="71"/>
      <c r="E168" s="71"/>
      <c r="F168" s="71"/>
      <c r="G168" s="71"/>
      <c r="H168" s="75"/>
      <c r="I168" s="71"/>
      <c r="J168" s="71"/>
      <c r="K168" s="72"/>
      <c r="L168" s="72"/>
      <c r="M168" s="72"/>
      <c r="N168" s="72"/>
      <c r="O168" s="52"/>
      <c r="R168" s="59"/>
    </row>
    <row r="169" spans="1:18" s="56" customFormat="1" ht="12" x14ac:dyDescent="0.2">
      <c r="A169" s="73" t="s">
        <v>305</v>
      </c>
      <c r="B169" s="73" t="s">
        <v>306</v>
      </c>
      <c r="C169" s="74" t="s">
        <v>307</v>
      </c>
      <c r="D169" s="73" t="s">
        <v>14</v>
      </c>
      <c r="E169" s="75">
        <v>43.5</v>
      </c>
      <c r="F169" s="75"/>
      <c r="G169" s="75"/>
      <c r="H169" s="75">
        <f t="shared" ref="H169:H189" si="27">ROUND(R169*$R$12,2)</f>
        <v>224.11</v>
      </c>
      <c r="I169" s="75">
        <f t="shared" ref="I169:I189" si="28">ROUND(H169*(1+$S$1),2)</f>
        <v>285.94</v>
      </c>
      <c r="J169" s="76">
        <f t="shared" ref="J169:J189" si="29">ROUND(E169*H169,2)</f>
        <v>9748.7900000000009</v>
      </c>
      <c r="K169" s="76">
        <f t="shared" ref="K169:K189" si="30">ROUND(E169*I169,2)</f>
        <v>12438.39</v>
      </c>
      <c r="L169" s="76"/>
      <c r="M169" s="76"/>
      <c r="N169" s="76"/>
      <c r="O169" s="51"/>
      <c r="R169" s="53">
        <v>224.11</v>
      </c>
    </row>
    <row r="170" spans="1:18" s="56" customFormat="1" ht="12" x14ac:dyDescent="0.2">
      <c r="A170" s="73" t="s">
        <v>308</v>
      </c>
      <c r="B170" s="73" t="s">
        <v>309</v>
      </c>
      <c r="C170" s="74" t="s">
        <v>310</v>
      </c>
      <c r="D170" s="73" t="s">
        <v>14</v>
      </c>
      <c r="E170" s="75">
        <v>10.5</v>
      </c>
      <c r="F170" s="75"/>
      <c r="G170" s="75"/>
      <c r="H170" s="75">
        <f t="shared" si="27"/>
        <v>312.5</v>
      </c>
      <c r="I170" s="75">
        <f t="shared" si="28"/>
        <v>398.72</v>
      </c>
      <c r="J170" s="76">
        <f t="shared" si="29"/>
        <v>3281.25</v>
      </c>
      <c r="K170" s="76">
        <f t="shared" si="30"/>
        <v>4186.5600000000004</v>
      </c>
      <c r="L170" s="76"/>
      <c r="M170" s="76"/>
      <c r="N170" s="76"/>
      <c r="O170" s="51"/>
      <c r="R170" s="53">
        <v>312.5</v>
      </c>
    </row>
    <row r="171" spans="1:18" s="56" customFormat="1" ht="24" x14ac:dyDescent="0.2">
      <c r="A171" s="73" t="s">
        <v>78</v>
      </c>
      <c r="B171" s="73" t="s">
        <v>311</v>
      </c>
      <c r="C171" s="74" t="s">
        <v>312</v>
      </c>
      <c r="D171" s="73" t="s">
        <v>14</v>
      </c>
      <c r="E171" s="75">
        <v>53</v>
      </c>
      <c r="F171" s="75"/>
      <c r="G171" s="75"/>
      <c r="H171" s="75">
        <f t="shared" si="27"/>
        <v>323.14</v>
      </c>
      <c r="I171" s="75">
        <f t="shared" si="28"/>
        <v>412.29</v>
      </c>
      <c r="J171" s="76">
        <f t="shared" si="29"/>
        <v>17126.419999999998</v>
      </c>
      <c r="K171" s="76">
        <f t="shared" si="30"/>
        <v>21851.37</v>
      </c>
      <c r="L171" s="76"/>
      <c r="M171" s="76"/>
      <c r="N171" s="76"/>
      <c r="O171" s="51"/>
      <c r="R171" s="53">
        <v>323.14</v>
      </c>
    </row>
    <row r="172" spans="1:18" s="56" customFormat="1" ht="12" x14ac:dyDescent="0.2">
      <c r="A172" s="73" t="s">
        <v>305</v>
      </c>
      <c r="B172" s="73" t="s">
        <v>313</v>
      </c>
      <c r="C172" s="74" t="s">
        <v>314</v>
      </c>
      <c r="D172" s="73" t="s">
        <v>14</v>
      </c>
      <c r="E172" s="75">
        <v>35.700000000000003</v>
      </c>
      <c r="F172" s="75"/>
      <c r="G172" s="75"/>
      <c r="H172" s="75">
        <f t="shared" si="27"/>
        <v>224.11</v>
      </c>
      <c r="I172" s="75">
        <f t="shared" si="28"/>
        <v>285.94</v>
      </c>
      <c r="J172" s="76">
        <f t="shared" si="29"/>
        <v>8000.73</v>
      </c>
      <c r="K172" s="76">
        <f t="shared" si="30"/>
        <v>10208.06</v>
      </c>
      <c r="L172" s="76"/>
      <c r="M172" s="76"/>
      <c r="N172" s="76"/>
      <c r="O172" s="51"/>
      <c r="R172" s="53">
        <v>224.11</v>
      </c>
    </row>
    <row r="173" spans="1:18" s="56" customFormat="1" ht="12" x14ac:dyDescent="0.2">
      <c r="A173" s="94">
        <v>20231</v>
      </c>
      <c r="B173" s="73" t="s">
        <v>315</v>
      </c>
      <c r="C173" s="74" t="s">
        <v>316</v>
      </c>
      <c r="D173" s="73" t="s">
        <v>81</v>
      </c>
      <c r="E173" s="75">
        <v>65.8</v>
      </c>
      <c r="F173" s="75"/>
      <c r="G173" s="75"/>
      <c r="H173" s="75">
        <f t="shared" si="27"/>
        <v>33.93</v>
      </c>
      <c r="I173" s="75">
        <f t="shared" si="28"/>
        <v>43.29</v>
      </c>
      <c r="J173" s="76">
        <f t="shared" si="29"/>
        <v>2232.59</v>
      </c>
      <c r="K173" s="76">
        <f t="shared" si="30"/>
        <v>2848.48</v>
      </c>
      <c r="L173" s="76"/>
      <c r="M173" s="76"/>
      <c r="N173" s="76"/>
      <c r="O173" s="51"/>
      <c r="R173" s="53">
        <v>33.93</v>
      </c>
    </row>
    <row r="174" spans="1:18" s="56" customFormat="1" ht="24" x14ac:dyDescent="0.2">
      <c r="A174" s="94">
        <v>20231</v>
      </c>
      <c r="B174" s="73" t="s">
        <v>317</v>
      </c>
      <c r="C174" s="74" t="s">
        <v>318</v>
      </c>
      <c r="D174" s="73" t="s">
        <v>81</v>
      </c>
      <c r="E174" s="75">
        <v>99.5</v>
      </c>
      <c r="F174" s="75"/>
      <c r="G174" s="75"/>
      <c r="H174" s="75">
        <f t="shared" si="27"/>
        <v>33.93</v>
      </c>
      <c r="I174" s="75">
        <f t="shared" si="28"/>
        <v>43.29</v>
      </c>
      <c r="J174" s="76">
        <f t="shared" si="29"/>
        <v>3376.04</v>
      </c>
      <c r="K174" s="76">
        <f t="shared" si="30"/>
        <v>4307.3599999999997</v>
      </c>
      <c r="L174" s="76"/>
      <c r="M174" s="76"/>
      <c r="N174" s="76"/>
      <c r="O174" s="51"/>
      <c r="R174" s="53">
        <v>33.93</v>
      </c>
    </row>
    <row r="175" spans="1:18" s="56" customFormat="1" ht="12" x14ac:dyDescent="0.2">
      <c r="A175" s="94">
        <v>20231</v>
      </c>
      <c r="B175" s="73" t="s">
        <v>319</v>
      </c>
      <c r="C175" s="74" t="s">
        <v>320</v>
      </c>
      <c r="D175" s="73" t="s">
        <v>81</v>
      </c>
      <c r="E175" s="75">
        <v>130.80000000000001</v>
      </c>
      <c r="F175" s="75"/>
      <c r="G175" s="75"/>
      <c r="H175" s="75">
        <f t="shared" si="27"/>
        <v>33.93</v>
      </c>
      <c r="I175" s="75">
        <f t="shared" si="28"/>
        <v>43.29</v>
      </c>
      <c r="J175" s="76">
        <f t="shared" si="29"/>
        <v>4438.04</v>
      </c>
      <c r="K175" s="76">
        <f t="shared" si="30"/>
        <v>5662.33</v>
      </c>
      <c r="L175" s="76"/>
      <c r="M175" s="76"/>
      <c r="N175" s="76"/>
      <c r="O175" s="51"/>
      <c r="R175" s="53">
        <v>33.93</v>
      </c>
    </row>
    <row r="176" spans="1:18" s="56" customFormat="1" ht="12" x14ac:dyDescent="0.2">
      <c r="A176" s="94">
        <v>20231</v>
      </c>
      <c r="B176" s="73" t="s">
        <v>321</v>
      </c>
      <c r="C176" s="74" t="s">
        <v>322</v>
      </c>
      <c r="D176" s="73" t="s">
        <v>81</v>
      </c>
      <c r="E176" s="75">
        <v>90.4</v>
      </c>
      <c r="F176" s="75"/>
      <c r="G176" s="75"/>
      <c r="H176" s="75">
        <f t="shared" si="27"/>
        <v>33.93</v>
      </c>
      <c r="I176" s="75">
        <f t="shared" si="28"/>
        <v>43.29</v>
      </c>
      <c r="J176" s="76">
        <f t="shared" si="29"/>
        <v>3067.27</v>
      </c>
      <c r="K176" s="76">
        <f t="shared" si="30"/>
        <v>3913.42</v>
      </c>
      <c r="L176" s="76"/>
      <c r="M176" s="76"/>
      <c r="N176" s="76"/>
      <c r="O176" s="51"/>
      <c r="R176" s="53">
        <v>33.93</v>
      </c>
    </row>
    <row r="177" spans="1:18" s="56" customFormat="1" ht="12" x14ac:dyDescent="0.2">
      <c r="A177" s="94">
        <v>20231</v>
      </c>
      <c r="B177" s="73" t="s">
        <v>323</v>
      </c>
      <c r="C177" s="74" t="s">
        <v>324</v>
      </c>
      <c r="D177" s="73" t="s">
        <v>81</v>
      </c>
      <c r="E177" s="75">
        <v>19.2</v>
      </c>
      <c r="F177" s="75"/>
      <c r="G177" s="75"/>
      <c r="H177" s="75">
        <f t="shared" si="27"/>
        <v>33.93</v>
      </c>
      <c r="I177" s="75">
        <f t="shared" si="28"/>
        <v>43.29</v>
      </c>
      <c r="J177" s="76">
        <f t="shared" si="29"/>
        <v>651.46</v>
      </c>
      <c r="K177" s="76">
        <f t="shared" si="30"/>
        <v>831.17</v>
      </c>
      <c r="L177" s="76"/>
      <c r="M177" s="76"/>
      <c r="N177" s="76"/>
      <c r="O177" s="51"/>
      <c r="R177" s="53">
        <v>33.93</v>
      </c>
    </row>
    <row r="178" spans="1:18" s="56" customFormat="1" ht="12" x14ac:dyDescent="0.2">
      <c r="A178" s="73" t="s">
        <v>308</v>
      </c>
      <c r="B178" s="73" t="s">
        <v>325</v>
      </c>
      <c r="C178" s="74" t="s">
        <v>326</v>
      </c>
      <c r="D178" s="73" t="s">
        <v>102</v>
      </c>
      <c r="E178" s="75">
        <v>2</v>
      </c>
      <c r="F178" s="75"/>
      <c r="G178" s="75"/>
      <c r="H178" s="75">
        <f t="shared" si="27"/>
        <v>58.84</v>
      </c>
      <c r="I178" s="75">
        <f t="shared" si="28"/>
        <v>75.069999999999993</v>
      </c>
      <c r="J178" s="76">
        <f t="shared" si="29"/>
        <v>117.68</v>
      </c>
      <c r="K178" s="76">
        <f t="shared" si="30"/>
        <v>150.13999999999999</v>
      </c>
      <c r="L178" s="76"/>
      <c r="M178" s="76"/>
      <c r="N178" s="76"/>
      <c r="O178" s="51"/>
      <c r="R178" s="53">
        <v>58.84</v>
      </c>
    </row>
    <row r="179" spans="1:18" s="56" customFormat="1" ht="12" x14ac:dyDescent="0.2">
      <c r="A179" s="94">
        <v>84862</v>
      </c>
      <c r="B179" s="73" t="s">
        <v>327</v>
      </c>
      <c r="C179" s="74" t="s">
        <v>328</v>
      </c>
      <c r="D179" s="73" t="s">
        <v>81</v>
      </c>
      <c r="E179" s="75">
        <v>10.9</v>
      </c>
      <c r="F179" s="75"/>
      <c r="G179" s="75"/>
      <c r="H179" s="75">
        <f t="shared" si="27"/>
        <v>190.09</v>
      </c>
      <c r="I179" s="75">
        <f t="shared" si="28"/>
        <v>242.54</v>
      </c>
      <c r="J179" s="76">
        <f t="shared" si="29"/>
        <v>2071.98</v>
      </c>
      <c r="K179" s="76">
        <f t="shared" si="30"/>
        <v>2643.69</v>
      </c>
      <c r="L179" s="76"/>
      <c r="M179" s="76"/>
      <c r="N179" s="76"/>
      <c r="O179" s="51"/>
      <c r="R179" s="53">
        <v>190.09</v>
      </c>
    </row>
    <row r="180" spans="1:18" s="56" customFormat="1" ht="12" x14ac:dyDescent="0.2">
      <c r="A180" s="73" t="s">
        <v>329</v>
      </c>
      <c r="B180" s="73" t="s">
        <v>330</v>
      </c>
      <c r="C180" s="74" t="s">
        <v>331</v>
      </c>
      <c r="D180" s="73" t="s">
        <v>81</v>
      </c>
      <c r="E180" s="75">
        <v>11.79</v>
      </c>
      <c r="F180" s="75"/>
      <c r="G180" s="75"/>
      <c r="H180" s="75">
        <f t="shared" si="27"/>
        <v>222.14</v>
      </c>
      <c r="I180" s="75">
        <f t="shared" si="28"/>
        <v>283.43</v>
      </c>
      <c r="J180" s="76">
        <f t="shared" si="29"/>
        <v>2619.0300000000002</v>
      </c>
      <c r="K180" s="76">
        <f t="shared" si="30"/>
        <v>3341.64</v>
      </c>
      <c r="L180" s="76"/>
      <c r="M180" s="76"/>
      <c r="N180" s="76"/>
      <c r="O180" s="51"/>
      <c r="R180" s="53">
        <v>222.14</v>
      </c>
    </row>
    <row r="181" spans="1:18" s="56" customFormat="1" ht="24" x14ac:dyDescent="0.2">
      <c r="A181" s="73" t="s">
        <v>78</v>
      </c>
      <c r="B181" s="73" t="s">
        <v>332</v>
      </c>
      <c r="C181" s="74" t="s">
        <v>333</v>
      </c>
      <c r="D181" s="73" t="s">
        <v>102</v>
      </c>
      <c r="E181" s="75">
        <v>1</v>
      </c>
      <c r="F181" s="75"/>
      <c r="G181" s="75"/>
      <c r="H181" s="75">
        <f t="shared" si="27"/>
        <v>474.97</v>
      </c>
      <c r="I181" s="75">
        <f t="shared" si="28"/>
        <v>606.01</v>
      </c>
      <c r="J181" s="76">
        <f t="shared" si="29"/>
        <v>474.97</v>
      </c>
      <c r="K181" s="76">
        <f t="shared" si="30"/>
        <v>606.01</v>
      </c>
      <c r="L181" s="76"/>
      <c r="M181" s="76"/>
      <c r="N181" s="76"/>
      <c r="O181" s="51"/>
      <c r="R181" s="53">
        <v>474.97</v>
      </c>
    </row>
    <row r="182" spans="1:18" s="56" customFormat="1" ht="12" x14ac:dyDescent="0.2">
      <c r="A182" s="73" t="s">
        <v>308</v>
      </c>
      <c r="B182" s="73" t="s">
        <v>334</v>
      </c>
      <c r="C182" s="74" t="s">
        <v>335</v>
      </c>
      <c r="D182" s="73" t="s">
        <v>336</v>
      </c>
      <c r="E182" s="75">
        <v>2</v>
      </c>
      <c r="F182" s="75"/>
      <c r="G182" s="75"/>
      <c r="H182" s="75">
        <f t="shared" si="27"/>
        <v>891.52</v>
      </c>
      <c r="I182" s="75">
        <f t="shared" si="28"/>
        <v>1137.49</v>
      </c>
      <c r="J182" s="76">
        <f t="shared" si="29"/>
        <v>1783.04</v>
      </c>
      <c r="K182" s="76">
        <f t="shared" si="30"/>
        <v>2274.98</v>
      </c>
      <c r="L182" s="76"/>
      <c r="M182" s="76"/>
      <c r="N182" s="76"/>
      <c r="O182" s="51"/>
      <c r="R182" s="53">
        <v>891.52</v>
      </c>
    </row>
    <row r="183" spans="1:18" s="56" customFormat="1" ht="12" x14ac:dyDescent="0.2">
      <c r="A183" s="73" t="s">
        <v>308</v>
      </c>
      <c r="B183" s="73" t="s">
        <v>337</v>
      </c>
      <c r="C183" s="74" t="s">
        <v>338</v>
      </c>
      <c r="D183" s="73" t="s">
        <v>102</v>
      </c>
      <c r="E183" s="75">
        <v>8</v>
      </c>
      <c r="F183" s="75"/>
      <c r="G183" s="75"/>
      <c r="H183" s="75">
        <f t="shared" si="27"/>
        <v>179</v>
      </c>
      <c r="I183" s="75">
        <f t="shared" si="28"/>
        <v>228.39</v>
      </c>
      <c r="J183" s="76">
        <f t="shared" si="29"/>
        <v>1432</v>
      </c>
      <c r="K183" s="76">
        <f t="shared" si="30"/>
        <v>1827.12</v>
      </c>
      <c r="L183" s="76"/>
      <c r="M183" s="76"/>
      <c r="N183" s="76"/>
      <c r="O183" s="51"/>
      <c r="R183" s="53">
        <v>179</v>
      </c>
    </row>
    <row r="184" spans="1:18" s="56" customFormat="1" ht="12" x14ac:dyDescent="0.2">
      <c r="A184" s="73" t="s">
        <v>308</v>
      </c>
      <c r="B184" s="73" t="s">
        <v>339</v>
      </c>
      <c r="C184" s="74" t="s">
        <v>340</v>
      </c>
      <c r="D184" s="73" t="s">
        <v>336</v>
      </c>
      <c r="E184" s="75">
        <v>2</v>
      </c>
      <c r="F184" s="75"/>
      <c r="G184" s="75"/>
      <c r="H184" s="75">
        <f t="shared" si="27"/>
        <v>144</v>
      </c>
      <c r="I184" s="75">
        <f t="shared" si="28"/>
        <v>183.73</v>
      </c>
      <c r="J184" s="76">
        <f t="shared" si="29"/>
        <v>288</v>
      </c>
      <c r="K184" s="76">
        <f t="shared" si="30"/>
        <v>367.46</v>
      </c>
      <c r="L184" s="76"/>
      <c r="M184" s="76"/>
      <c r="N184" s="76"/>
      <c r="O184" s="51"/>
      <c r="R184" s="53">
        <v>144</v>
      </c>
    </row>
    <row r="185" spans="1:18" s="56" customFormat="1" ht="12" x14ac:dyDescent="0.2">
      <c r="A185" s="73" t="s">
        <v>78</v>
      </c>
      <c r="B185" s="73" t="s">
        <v>341</v>
      </c>
      <c r="C185" s="74" t="s">
        <v>342</v>
      </c>
      <c r="D185" s="73" t="s">
        <v>81</v>
      </c>
      <c r="E185" s="75">
        <v>2.85</v>
      </c>
      <c r="F185" s="75"/>
      <c r="G185" s="75"/>
      <c r="H185" s="75">
        <f t="shared" si="27"/>
        <v>201.25</v>
      </c>
      <c r="I185" s="75">
        <f t="shared" si="28"/>
        <v>256.77</v>
      </c>
      <c r="J185" s="76">
        <f t="shared" si="29"/>
        <v>573.55999999999995</v>
      </c>
      <c r="K185" s="76">
        <f t="shared" si="30"/>
        <v>731.79</v>
      </c>
      <c r="L185" s="76"/>
      <c r="M185" s="76"/>
      <c r="N185" s="76"/>
      <c r="O185" s="51"/>
      <c r="R185" s="53">
        <v>201.25</v>
      </c>
    </row>
    <row r="186" spans="1:18" s="56" customFormat="1" ht="12" x14ac:dyDescent="0.2">
      <c r="A186" s="73" t="s">
        <v>78</v>
      </c>
      <c r="B186" s="73" t="s">
        <v>343</v>
      </c>
      <c r="C186" s="74" t="s">
        <v>344</v>
      </c>
      <c r="D186" s="73" t="s">
        <v>81</v>
      </c>
      <c r="E186" s="75">
        <v>9.1999999999999993</v>
      </c>
      <c r="F186" s="75"/>
      <c r="G186" s="75"/>
      <c r="H186" s="75">
        <f t="shared" si="27"/>
        <v>356.72</v>
      </c>
      <c r="I186" s="75">
        <f t="shared" si="28"/>
        <v>455.14</v>
      </c>
      <c r="J186" s="76">
        <f t="shared" si="29"/>
        <v>3281.82</v>
      </c>
      <c r="K186" s="76">
        <f t="shared" si="30"/>
        <v>4187.29</v>
      </c>
      <c r="L186" s="76"/>
      <c r="M186" s="76"/>
      <c r="N186" s="76"/>
      <c r="O186" s="51"/>
      <c r="R186" s="53">
        <v>356.72</v>
      </c>
    </row>
    <row r="187" spans="1:18" s="56" customFormat="1" ht="12" x14ac:dyDescent="0.2">
      <c r="A187" s="73" t="s">
        <v>345</v>
      </c>
      <c r="B187" s="73" t="s">
        <v>346</v>
      </c>
      <c r="C187" s="74" t="s">
        <v>347</v>
      </c>
      <c r="D187" s="73" t="s">
        <v>102</v>
      </c>
      <c r="E187" s="75">
        <v>3</v>
      </c>
      <c r="F187" s="75"/>
      <c r="G187" s="75"/>
      <c r="H187" s="75">
        <f t="shared" si="27"/>
        <v>2030.45</v>
      </c>
      <c r="I187" s="75">
        <f t="shared" si="28"/>
        <v>2590.65</v>
      </c>
      <c r="J187" s="76">
        <f t="shared" si="29"/>
        <v>6091.35</v>
      </c>
      <c r="K187" s="76">
        <f t="shared" si="30"/>
        <v>7771.95</v>
      </c>
      <c r="L187" s="76"/>
      <c r="M187" s="76"/>
      <c r="N187" s="76"/>
      <c r="O187" s="51"/>
      <c r="R187" s="51">
        <v>2030.45</v>
      </c>
    </row>
    <row r="188" spans="1:18" s="56" customFormat="1" ht="12" x14ac:dyDescent="0.2">
      <c r="A188" s="73" t="s">
        <v>308</v>
      </c>
      <c r="B188" s="73" t="s">
        <v>348</v>
      </c>
      <c r="C188" s="74" t="s">
        <v>349</v>
      </c>
      <c r="D188" s="73" t="s">
        <v>102</v>
      </c>
      <c r="E188" s="75">
        <v>2</v>
      </c>
      <c r="F188" s="75"/>
      <c r="G188" s="75"/>
      <c r="H188" s="75">
        <f t="shared" si="27"/>
        <v>415</v>
      </c>
      <c r="I188" s="75">
        <f t="shared" si="28"/>
        <v>529.5</v>
      </c>
      <c r="J188" s="76">
        <f t="shared" si="29"/>
        <v>830</v>
      </c>
      <c r="K188" s="76">
        <f t="shared" si="30"/>
        <v>1059</v>
      </c>
      <c r="L188" s="76"/>
      <c r="M188" s="76"/>
      <c r="N188" s="76"/>
      <c r="O188" s="51"/>
      <c r="R188" s="53">
        <v>415</v>
      </c>
    </row>
    <row r="189" spans="1:18" s="56" customFormat="1" ht="12" x14ac:dyDescent="0.2">
      <c r="A189" s="73" t="s">
        <v>308</v>
      </c>
      <c r="B189" s="73" t="s">
        <v>350</v>
      </c>
      <c r="C189" s="74" t="s">
        <v>351</v>
      </c>
      <c r="D189" s="73" t="s">
        <v>102</v>
      </c>
      <c r="E189" s="75">
        <v>1</v>
      </c>
      <c r="F189" s="75"/>
      <c r="G189" s="75"/>
      <c r="H189" s="75">
        <f t="shared" si="27"/>
        <v>63.04</v>
      </c>
      <c r="I189" s="75">
        <f t="shared" si="28"/>
        <v>80.430000000000007</v>
      </c>
      <c r="J189" s="76">
        <f t="shared" si="29"/>
        <v>63.04</v>
      </c>
      <c r="K189" s="76">
        <f t="shared" si="30"/>
        <v>80.430000000000007</v>
      </c>
      <c r="L189" s="76"/>
      <c r="M189" s="76"/>
      <c r="N189" s="76"/>
      <c r="O189" s="51"/>
      <c r="R189" s="53">
        <v>63.04</v>
      </c>
    </row>
    <row r="190" spans="1:18" s="56" customFormat="1" ht="12" x14ac:dyDescent="0.2">
      <c r="A190" s="72"/>
      <c r="B190" s="71"/>
      <c r="C190" s="71"/>
      <c r="D190" s="71"/>
      <c r="E190" s="71"/>
      <c r="F190" s="71"/>
      <c r="G190" s="71"/>
      <c r="H190" s="75"/>
      <c r="I190" s="77" t="s">
        <v>352</v>
      </c>
      <c r="J190" s="78">
        <f>SUM(J169:J189)</f>
        <v>71549.06</v>
      </c>
      <c r="K190" s="78">
        <f>SUM(K169:K189)</f>
        <v>91288.63999999997</v>
      </c>
      <c r="L190" s="78"/>
      <c r="M190" s="78"/>
      <c r="N190" s="78"/>
      <c r="O190" s="60"/>
      <c r="P190" s="58"/>
      <c r="R190" s="59"/>
    </row>
    <row r="191" spans="1:18" s="56" customFormat="1" ht="12" x14ac:dyDescent="0.2">
      <c r="A191" s="72"/>
      <c r="B191" s="70" t="s">
        <v>353</v>
      </c>
      <c r="C191" s="71" t="s">
        <v>354</v>
      </c>
      <c r="D191" s="72"/>
      <c r="E191" s="72"/>
      <c r="F191" s="72"/>
      <c r="G191" s="72"/>
      <c r="H191" s="75"/>
      <c r="I191" s="72"/>
      <c r="J191" s="72"/>
      <c r="K191" s="72"/>
      <c r="L191" s="72"/>
      <c r="M191" s="72"/>
      <c r="N191" s="72"/>
      <c r="O191" s="52"/>
      <c r="R191" s="52"/>
    </row>
    <row r="192" spans="1:18" s="56" customFormat="1" ht="12" x14ac:dyDescent="0.2">
      <c r="A192" s="72"/>
      <c r="B192" s="70" t="s">
        <v>355</v>
      </c>
      <c r="C192" s="71" t="s">
        <v>356</v>
      </c>
      <c r="D192" s="72"/>
      <c r="E192" s="72"/>
      <c r="F192" s="72"/>
      <c r="G192" s="72"/>
      <c r="H192" s="75"/>
      <c r="I192" s="72"/>
      <c r="J192" s="72"/>
      <c r="K192" s="72"/>
      <c r="L192" s="72"/>
      <c r="M192" s="72"/>
      <c r="N192" s="72"/>
      <c r="O192" s="52"/>
      <c r="R192" s="52"/>
    </row>
    <row r="193" spans="1:18" s="56" customFormat="1" ht="12" x14ac:dyDescent="0.2">
      <c r="A193" s="72"/>
      <c r="B193" s="81">
        <v>41640</v>
      </c>
      <c r="C193" s="71" t="s">
        <v>357</v>
      </c>
      <c r="D193" s="72"/>
      <c r="E193" s="72"/>
      <c r="F193" s="72"/>
      <c r="G193" s="72"/>
      <c r="H193" s="75"/>
      <c r="I193" s="72"/>
      <c r="J193" s="72"/>
      <c r="K193" s="72"/>
      <c r="L193" s="72"/>
      <c r="M193" s="72"/>
      <c r="N193" s="72"/>
      <c r="O193" s="52"/>
      <c r="R193" s="52"/>
    </row>
    <row r="194" spans="1:18" s="56" customFormat="1" ht="12" x14ac:dyDescent="0.2">
      <c r="A194" s="73" t="s">
        <v>358</v>
      </c>
      <c r="B194" s="73" t="s">
        <v>359</v>
      </c>
      <c r="C194" s="74" t="s">
        <v>360</v>
      </c>
      <c r="D194" s="73" t="s">
        <v>81</v>
      </c>
      <c r="E194" s="75">
        <v>172</v>
      </c>
      <c r="F194" s="75"/>
      <c r="G194" s="75"/>
      <c r="H194" s="75">
        <f>ROUND(R194*$R$12,2)</f>
        <v>11.27</v>
      </c>
      <c r="I194" s="75">
        <f>ROUND(H194*(1+$S$1),2)</f>
        <v>14.38</v>
      </c>
      <c r="J194" s="76">
        <f>ROUND(E194*H194,2)</f>
        <v>1938.44</v>
      </c>
      <c r="K194" s="76">
        <f>ROUND(E194*I194,2)</f>
        <v>2473.36</v>
      </c>
      <c r="L194" s="76"/>
      <c r="M194" s="76"/>
      <c r="N194" s="76"/>
      <c r="O194" s="51"/>
      <c r="R194" s="53">
        <v>11.27</v>
      </c>
    </row>
    <row r="195" spans="1:18" s="56" customFormat="1" ht="12" x14ac:dyDescent="0.2">
      <c r="A195" s="73" t="s">
        <v>361</v>
      </c>
      <c r="B195" s="73" t="s">
        <v>362</v>
      </c>
      <c r="C195" s="74" t="s">
        <v>363</v>
      </c>
      <c r="D195" s="73" t="s">
        <v>81</v>
      </c>
      <c r="E195" s="75">
        <v>169</v>
      </c>
      <c r="F195" s="75"/>
      <c r="G195" s="75"/>
      <c r="H195" s="75">
        <f>ROUND(R195*$R$12,2)</f>
        <v>11.89</v>
      </c>
      <c r="I195" s="75">
        <f>ROUND(H195*(1+$S$1),2)</f>
        <v>15.17</v>
      </c>
      <c r="J195" s="76">
        <f>ROUND(E195*H195,2)</f>
        <v>2009.41</v>
      </c>
      <c r="K195" s="76">
        <f>ROUND(E195*I195,2)</f>
        <v>2563.73</v>
      </c>
      <c r="L195" s="76"/>
      <c r="M195" s="76"/>
      <c r="N195" s="76"/>
      <c r="O195" s="51"/>
      <c r="R195" s="53">
        <v>11.89</v>
      </c>
    </row>
    <row r="196" spans="1:18" s="56" customFormat="1" ht="12" x14ac:dyDescent="0.2">
      <c r="A196" s="73" t="s">
        <v>364</v>
      </c>
      <c r="B196" s="73" t="s">
        <v>365</v>
      </c>
      <c r="C196" s="74" t="s">
        <v>366</v>
      </c>
      <c r="D196" s="73" t="s">
        <v>81</v>
      </c>
      <c r="E196" s="75">
        <v>66</v>
      </c>
      <c r="F196" s="75"/>
      <c r="G196" s="75"/>
      <c r="H196" s="75">
        <f>ROUND(R196*$R$12,2)</f>
        <v>28.56</v>
      </c>
      <c r="I196" s="75">
        <f>ROUND(H196*(1+$S$1),2)</f>
        <v>36.44</v>
      </c>
      <c r="J196" s="76">
        <f>ROUND(E196*H196,2)</f>
        <v>1884.96</v>
      </c>
      <c r="K196" s="76">
        <f>ROUND(E196*I196,2)</f>
        <v>2405.04</v>
      </c>
      <c r="L196" s="76"/>
      <c r="M196" s="76"/>
      <c r="N196" s="76"/>
      <c r="O196" s="51"/>
      <c r="R196" s="53">
        <v>28.56</v>
      </c>
    </row>
    <row r="197" spans="1:18" s="56" customFormat="1" ht="12" x14ac:dyDescent="0.2">
      <c r="A197" s="73" t="s">
        <v>367</v>
      </c>
      <c r="B197" s="73" t="s">
        <v>368</v>
      </c>
      <c r="C197" s="74" t="s">
        <v>369</v>
      </c>
      <c r="D197" s="73" t="s">
        <v>81</v>
      </c>
      <c r="E197" s="75">
        <v>39</v>
      </c>
      <c r="F197" s="75"/>
      <c r="G197" s="75"/>
      <c r="H197" s="75">
        <f>ROUND(R197*$R$12,2)</f>
        <v>35.53</v>
      </c>
      <c r="I197" s="75">
        <f>ROUND(H197*(1+$S$1),2)</f>
        <v>45.33</v>
      </c>
      <c r="J197" s="76">
        <f>ROUND(E197*H197,2)</f>
        <v>1385.67</v>
      </c>
      <c r="K197" s="76">
        <f>ROUND(E197*I197,2)</f>
        <v>1767.87</v>
      </c>
      <c r="L197" s="76"/>
      <c r="M197" s="76"/>
      <c r="N197" s="76"/>
      <c r="O197" s="51"/>
      <c r="R197" s="53">
        <v>35.53</v>
      </c>
    </row>
    <row r="198" spans="1:18" s="56" customFormat="1" ht="12" x14ac:dyDescent="0.2">
      <c r="A198" s="73" t="s">
        <v>370</v>
      </c>
      <c r="B198" s="73" t="s">
        <v>371</v>
      </c>
      <c r="C198" s="74" t="s">
        <v>372</v>
      </c>
      <c r="D198" s="73" t="s">
        <v>81</v>
      </c>
      <c r="E198" s="75">
        <v>87</v>
      </c>
      <c r="F198" s="75"/>
      <c r="G198" s="75"/>
      <c r="H198" s="75">
        <f>ROUND(R198*$R$12,2)</f>
        <v>47.11</v>
      </c>
      <c r="I198" s="75">
        <f>ROUND(H198*(1+$S$1),2)</f>
        <v>60.11</v>
      </c>
      <c r="J198" s="76">
        <f>ROUND(E198*H198,2)</f>
        <v>4098.57</v>
      </c>
      <c r="K198" s="76">
        <f>ROUND(E198*I198,2)</f>
        <v>5229.57</v>
      </c>
      <c r="L198" s="76"/>
      <c r="M198" s="76"/>
      <c r="N198" s="76"/>
      <c r="O198" s="51"/>
      <c r="R198" s="53">
        <v>47.11</v>
      </c>
    </row>
    <row r="199" spans="1:18" s="56" customFormat="1" ht="12" x14ac:dyDescent="0.2">
      <c r="A199" s="72"/>
      <c r="B199" s="81">
        <v>41641</v>
      </c>
      <c r="C199" s="71" t="s">
        <v>373</v>
      </c>
      <c r="D199" s="72"/>
      <c r="E199" s="72"/>
      <c r="F199" s="72"/>
      <c r="G199" s="72"/>
      <c r="H199" s="75"/>
      <c r="I199" s="72"/>
      <c r="J199" s="72"/>
      <c r="K199" s="72"/>
      <c r="L199" s="72"/>
      <c r="M199" s="72"/>
      <c r="N199" s="72"/>
      <c r="O199" s="52"/>
      <c r="R199" s="52"/>
    </row>
    <row r="200" spans="1:18" s="56" customFormat="1" ht="24" x14ac:dyDescent="0.2">
      <c r="A200" s="94">
        <v>89383</v>
      </c>
      <c r="B200" s="73" t="s">
        <v>374</v>
      </c>
      <c r="C200" s="74" t="s">
        <v>375</v>
      </c>
      <c r="D200" s="73" t="s">
        <v>102</v>
      </c>
      <c r="E200" s="75">
        <v>125</v>
      </c>
      <c r="F200" s="75"/>
      <c r="G200" s="75"/>
      <c r="H200" s="75">
        <f t="shared" ref="H200:H207" si="31">ROUND(R200*$R$12,2)</f>
        <v>5.09</v>
      </c>
      <c r="I200" s="75">
        <f t="shared" ref="I200:I207" si="32">ROUND(H200*(1+$S$1),2)</f>
        <v>6.49</v>
      </c>
      <c r="J200" s="76">
        <f t="shared" ref="J200:J207" si="33">ROUND(E200*H200,2)</f>
        <v>636.25</v>
      </c>
      <c r="K200" s="76">
        <f t="shared" ref="K200:K207" si="34">ROUND(E200*I200,2)</f>
        <v>811.25</v>
      </c>
      <c r="L200" s="76"/>
      <c r="M200" s="76"/>
      <c r="N200" s="76"/>
      <c r="O200" s="51"/>
      <c r="R200" s="53">
        <v>5.09</v>
      </c>
    </row>
    <row r="201" spans="1:18" s="56" customFormat="1" ht="24" x14ac:dyDescent="0.2">
      <c r="A201" s="94">
        <v>89391</v>
      </c>
      <c r="B201" s="73" t="s">
        <v>376</v>
      </c>
      <c r="C201" s="74" t="s">
        <v>377</v>
      </c>
      <c r="D201" s="73" t="s">
        <v>102</v>
      </c>
      <c r="E201" s="75">
        <v>30</v>
      </c>
      <c r="F201" s="75"/>
      <c r="G201" s="75"/>
      <c r="H201" s="75">
        <f t="shared" si="31"/>
        <v>6.77</v>
      </c>
      <c r="I201" s="75">
        <f t="shared" si="32"/>
        <v>8.64</v>
      </c>
      <c r="J201" s="76">
        <f t="shared" si="33"/>
        <v>203.1</v>
      </c>
      <c r="K201" s="76">
        <f t="shared" si="34"/>
        <v>259.2</v>
      </c>
      <c r="L201" s="76"/>
      <c r="M201" s="76"/>
      <c r="N201" s="76"/>
      <c r="O201" s="51"/>
      <c r="R201" s="53">
        <v>6.77</v>
      </c>
    </row>
    <row r="202" spans="1:18" s="56" customFormat="1" ht="24" x14ac:dyDescent="0.2">
      <c r="A202" s="94">
        <v>89595</v>
      </c>
      <c r="B202" s="73" t="s">
        <v>378</v>
      </c>
      <c r="C202" s="74" t="s">
        <v>379</v>
      </c>
      <c r="D202" s="73" t="s">
        <v>102</v>
      </c>
      <c r="E202" s="75">
        <v>30</v>
      </c>
      <c r="F202" s="75"/>
      <c r="G202" s="75"/>
      <c r="H202" s="75">
        <f t="shared" si="31"/>
        <v>10.76</v>
      </c>
      <c r="I202" s="75">
        <f t="shared" si="32"/>
        <v>13.73</v>
      </c>
      <c r="J202" s="76">
        <f t="shared" si="33"/>
        <v>322.8</v>
      </c>
      <c r="K202" s="76">
        <f t="shared" si="34"/>
        <v>411.9</v>
      </c>
      <c r="L202" s="76"/>
      <c r="M202" s="76"/>
      <c r="N202" s="76"/>
      <c r="O202" s="51"/>
      <c r="R202" s="53">
        <v>10.76</v>
      </c>
    </row>
    <row r="203" spans="1:18" s="56" customFormat="1" ht="24" x14ac:dyDescent="0.2">
      <c r="A203" s="94">
        <v>94668</v>
      </c>
      <c r="B203" s="73" t="s">
        <v>380</v>
      </c>
      <c r="C203" s="74" t="s">
        <v>381</v>
      </c>
      <c r="D203" s="73" t="s">
        <v>102</v>
      </c>
      <c r="E203" s="75">
        <v>11</v>
      </c>
      <c r="F203" s="75"/>
      <c r="G203" s="75"/>
      <c r="H203" s="75">
        <f t="shared" si="31"/>
        <v>42.01</v>
      </c>
      <c r="I203" s="75">
        <f t="shared" si="32"/>
        <v>53.6</v>
      </c>
      <c r="J203" s="76">
        <f t="shared" si="33"/>
        <v>462.11</v>
      </c>
      <c r="K203" s="76">
        <f t="shared" si="34"/>
        <v>589.6</v>
      </c>
      <c r="L203" s="76"/>
      <c r="M203" s="76"/>
      <c r="N203" s="76"/>
      <c r="O203" s="51"/>
      <c r="R203" s="53">
        <v>42.01</v>
      </c>
    </row>
    <row r="204" spans="1:18" s="56" customFormat="1" ht="12" x14ac:dyDescent="0.2">
      <c r="A204" s="94">
        <v>94708</v>
      </c>
      <c r="B204" s="73" t="s">
        <v>382</v>
      </c>
      <c r="C204" s="74" t="s">
        <v>383</v>
      </c>
      <c r="D204" s="73" t="s">
        <v>102</v>
      </c>
      <c r="E204" s="75">
        <v>1</v>
      </c>
      <c r="F204" s="75"/>
      <c r="G204" s="75"/>
      <c r="H204" s="75">
        <f t="shared" si="31"/>
        <v>19.79</v>
      </c>
      <c r="I204" s="75">
        <f t="shared" si="32"/>
        <v>25.25</v>
      </c>
      <c r="J204" s="76">
        <f t="shared" si="33"/>
        <v>19.79</v>
      </c>
      <c r="K204" s="76">
        <f t="shared" si="34"/>
        <v>25.25</v>
      </c>
      <c r="L204" s="76"/>
      <c r="M204" s="76"/>
      <c r="N204" s="76"/>
      <c r="O204" s="51"/>
      <c r="R204" s="53">
        <v>19.79</v>
      </c>
    </row>
    <row r="205" spans="1:18" s="56" customFormat="1" ht="12" x14ac:dyDescent="0.2">
      <c r="A205" s="94">
        <v>94709</v>
      </c>
      <c r="B205" s="73" t="s">
        <v>384</v>
      </c>
      <c r="C205" s="74" t="s">
        <v>385</v>
      </c>
      <c r="D205" s="73" t="s">
        <v>102</v>
      </c>
      <c r="E205" s="75">
        <v>1</v>
      </c>
      <c r="F205" s="75"/>
      <c r="G205" s="75"/>
      <c r="H205" s="75">
        <f t="shared" si="31"/>
        <v>23.32</v>
      </c>
      <c r="I205" s="75">
        <f t="shared" si="32"/>
        <v>29.75</v>
      </c>
      <c r="J205" s="76">
        <f t="shared" si="33"/>
        <v>23.32</v>
      </c>
      <c r="K205" s="76">
        <f t="shared" si="34"/>
        <v>29.75</v>
      </c>
      <c r="L205" s="76"/>
      <c r="M205" s="76"/>
      <c r="N205" s="76"/>
      <c r="O205" s="51"/>
      <c r="R205" s="53">
        <v>23.32</v>
      </c>
    </row>
    <row r="206" spans="1:18" s="56" customFormat="1" ht="12" x14ac:dyDescent="0.2">
      <c r="A206" s="94">
        <v>94711</v>
      </c>
      <c r="B206" s="73" t="s">
        <v>386</v>
      </c>
      <c r="C206" s="74" t="s">
        <v>387</v>
      </c>
      <c r="D206" s="73" t="s">
        <v>102</v>
      </c>
      <c r="E206" s="75">
        <v>5</v>
      </c>
      <c r="F206" s="75"/>
      <c r="G206" s="75"/>
      <c r="H206" s="75">
        <f t="shared" si="31"/>
        <v>40.08</v>
      </c>
      <c r="I206" s="75">
        <f t="shared" si="32"/>
        <v>51.14</v>
      </c>
      <c r="J206" s="76">
        <f t="shared" si="33"/>
        <v>200.4</v>
      </c>
      <c r="K206" s="76">
        <f t="shared" si="34"/>
        <v>255.7</v>
      </c>
      <c r="L206" s="76"/>
      <c r="M206" s="76"/>
      <c r="N206" s="76"/>
      <c r="O206" s="51"/>
      <c r="R206" s="53">
        <v>40.08</v>
      </c>
    </row>
    <row r="207" spans="1:18" s="56" customFormat="1" ht="12" x14ac:dyDescent="0.2">
      <c r="A207" s="94">
        <v>94714</v>
      </c>
      <c r="B207" s="73" t="s">
        <v>388</v>
      </c>
      <c r="C207" s="74" t="s">
        <v>389</v>
      </c>
      <c r="D207" s="73" t="s">
        <v>102</v>
      </c>
      <c r="E207" s="75">
        <v>1</v>
      </c>
      <c r="F207" s="75"/>
      <c r="G207" s="75"/>
      <c r="H207" s="75">
        <f t="shared" si="31"/>
        <v>199.75</v>
      </c>
      <c r="I207" s="75">
        <f t="shared" si="32"/>
        <v>254.86</v>
      </c>
      <c r="J207" s="76">
        <f t="shared" si="33"/>
        <v>199.75</v>
      </c>
      <c r="K207" s="76">
        <f t="shared" si="34"/>
        <v>254.86</v>
      </c>
      <c r="L207" s="76"/>
      <c r="M207" s="76"/>
      <c r="N207" s="76"/>
      <c r="O207" s="51"/>
      <c r="R207" s="53">
        <v>199.75</v>
      </c>
    </row>
    <row r="208" spans="1:18" s="56" customFormat="1" ht="12" x14ac:dyDescent="0.2">
      <c r="A208" s="72"/>
      <c r="B208" s="81">
        <v>41642</v>
      </c>
      <c r="C208" s="71" t="s">
        <v>390</v>
      </c>
      <c r="D208" s="72"/>
      <c r="E208" s="72"/>
      <c r="F208" s="72"/>
      <c r="G208" s="72"/>
      <c r="H208" s="75"/>
      <c r="I208" s="72"/>
      <c r="J208" s="72"/>
      <c r="K208" s="72"/>
      <c r="L208" s="72"/>
      <c r="M208" s="72"/>
      <c r="N208" s="72"/>
      <c r="O208" s="52"/>
      <c r="R208" s="52"/>
    </row>
    <row r="209" spans="1:18" s="56" customFormat="1" ht="12" x14ac:dyDescent="0.2">
      <c r="A209" s="73" t="s">
        <v>391</v>
      </c>
      <c r="B209" s="73" t="s">
        <v>392</v>
      </c>
      <c r="C209" s="74" t="s">
        <v>393</v>
      </c>
      <c r="D209" s="73" t="s">
        <v>102</v>
      </c>
      <c r="E209" s="75">
        <v>13</v>
      </c>
      <c r="F209" s="75"/>
      <c r="G209" s="75"/>
      <c r="H209" s="75">
        <f t="shared" ref="H209:H215" si="35">ROUND(R209*$R$12,2)</f>
        <v>3.37</v>
      </c>
      <c r="I209" s="75">
        <f t="shared" ref="I209:I215" si="36">ROUND(H209*(1+$S$1),2)</f>
        <v>4.3</v>
      </c>
      <c r="J209" s="76">
        <f t="shared" ref="J209:J215" si="37">ROUND(E209*H209,2)</f>
        <v>43.81</v>
      </c>
      <c r="K209" s="76">
        <f t="shared" ref="K209:K215" si="38">ROUND(E209*I209,2)</f>
        <v>55.9</v>
      </c>
      <c r="L209" s="76"/>
      <c r="M209" s="76"/>
      <c r="N209" s="76"/>
      <c r="O209" s="51"/>
      <c r="R209" s="53">
        <v>3.37</v>
      </c>
    </row>
    <row r="210" spans="1:18" s="56" customFormat="1" ht="12" x14ac:dyDescent="0.2">
      <c r="A210" s="73" t="s">
        <v>394</v>
      </c>
      <c r="B210" s="73" t="s">
        <v>395</v>
      </c>
      <c r="C210" s="74" t="s">
        <v>396</v>
      </c>
      <c r="D210" s="73" t="s">
        <v>102</v>
      </c>
      <c r="E210" s="75">
        <v>4</v>
      </c>
      <c r="F210" s="75"/>
      <c r="G210" s="75"/>
      <c r="H210" s="75">
        <f t="shared" si="35"/>
        <v>10.220000000000001</v>
      </c>
      <c r="I210" s="75">
        <f t="shared" si="36"/>
        <v>13.04</v>
      </c>
      <c r="J210" s="76">
        <f t="shared" si="37"/>
        <v>40.880000000000003</v>
      </c>
      <c r="K210" s="76">
        <f t="shared" si="38"/>
        <v>52.16</v>
      </c>
      <c r="L210" s="76"/>
      <c r="M210" s="76"/>
      <c r="N210" s="76"/>
      <c r="O210" s="51"/>
      <c r="R210" s="53">
        <v>10.220000000000001</v>
      </c>
    </row>
    <row r="211" spans="1:18" s="56" customFormat="1" ht="12" x14ac:dyDescent="0.2">
      <c r="A211" s="73" t="s">
        <v>397</v>
      </c>
      <c r="B211" s="73" t="s">
        <v>398</v>
      </c>
      <c r="C211" s="74" t="s">
        <v>399</v>
      </c>
      <c r="D211" s="73" t="s">
        <v>102</v>
      </c>
      <c r="E211" s="75">
        <v>2</v>
      </c>
      <c r="F211" s="75"/>
      <c r="G211" s="75"/>
      <c r="H211" s="75">
        <f t="shared" si="35"/>
        <v>10.91</v>
      </c>
      <c r="I211" s="75">
        <f t="shared" si="36"/>
        <v>13.92</v>
      </c>
      <c r="J211" s="76">
        <f t="shared" si="37"/>
        <v>21.82</v>
      </c>
      <c r="K211" s="76">
        <f t="shared" si="38"/>
        <v>27.84</v>
      </c>
      <c r="L211" s="76"/>
      <c r="M211" s="76"/>
      <c r="N211" s="76"/>
      <c r="O211" s="51"/>
      <c r="R211" s="53">
        <v>10.91</v>
      </c>
    </row>
    <row r="212" spans="1:18" s="56" customFormat="1" ht="12" x14ac:dyDescent="0.2">
      <c r="A212" s="73" t="s">
        <v>400</v>
      </c>
      <c r="B212" s="73" t="s">
        <v>401</v>
      </c>
      <c r="C212" s="74" t="s">
        <v>402</v>
      </c>
      <c r="D212" s="73" t="s">
        <v>102</v>
      </c>
      <c r="E212" s="75">
        <v>5</v>
      </c>
      <c r="F212" s="75"/>
      <c r="G212" s="75"/>
      <c r="H212" s="75">
        <f t="shared" si="35"/>
        <v>13.18</v>
      </c>
      <c r="I212" s="75">
        <f t="shared" si="36"/>
        <v>16.82</v>
      </c>
      <c r="J212" s="76">
        <f t="shared" si="37"/>
        <v>65.900000000000006</v>
      </c>
      <c r="K212" s="76">
        <f t="shared" si="38"/>
        <v>84.1</v>
      </c>
      <c r="L212" s="76"/>
      <c r="M212" s="76"/>
      <c r="N212" s="76"/>
      <c r="O212" s="51"/>
      <c r="R212" s="53">
        <v>13.18</v>
      </c>
    </row>
    <row r="213" spans="1:18" s="56" customFormat="1" ht="12" x14ac:dyDescent="0.2">
      <c r="A213" s="73" t="s">
        <v>403</v>
      </c>
      <c r="B213" s="73" t="s">
        <v>404</v>
      </c>
      <c r="C213" s="74" t="s">
        <v>405</v>
      </c>
      <c r="D213" s="73" t="s">
        <v>102</v>
      </c>
      <c r="E213" s="75">
        <v>11</v>
      </c>
      <c r="F213" s="75"/>
      <c r="G213" s="75"/>
      <c r="H213" s="75">
        <f t="shared" si="35"/>
        <v>12.73</v>
      </c>
      <c r="I213" s="75">
        <f t="shared" si="36"/>
        <v>16.239999999999998</v>
      </c>
      <c r="J213" s="76">
        <f t="shared" si="37"/>
        <v>140.03</v>
      </c>
      <c r="K213" s="76">
        <f t="shared" si="38"/>
        <v>178.64</v>
      </c>
      <c r="L213" s="76"/>
      <c r="M213" s="76"/>
      <c r="N213" s="76"/>
      <c r="O213" s="51"/>
      <c r="R213" s="53">
        <v>12.73</v>
      </c>
    </row>
    <row r="214" spans="1:18" s="56" customFormat="1" ht="12" x14ac:dyDescent="0.2">
      <c r="A214" s="73" t="s">
        <v>406</v>
      </c>
      <c r="B214" s="73" t="s">
        <v>407</v>
      </c>
      <c r="C214" s="74" t="s">
        <v>408</v>
      </c>
      <c r="D214" s="73" t="s">
        <v>102</v>
      </c>
      <c r="E214" s="75">
        <v>12</v>
      </c>
      <c r="F214" s="75"/>
      <c r="G214" s="75"/>
      <c r="H214" s="75">
        <f t="shared" si="35"/>
        <v>8.5299999999999994</v>
      </c>
      <c r="I214" s="75">
        <f t="shared" si="36"/>
        <v>10.88</v>
      </c>
      <c r="J214" s="76">
        <f t="shared" si="37"/>
        <v>102.36</v>
      </c>
      <c r="K214" s="76">
        <f t="shared" si="38"/>
        <v>130.56</v>
      </c>
      <c r="L214" s="76"/>
      <c r="M214" s="76"/>
      <c r="N214" s="76"/>
      <c r="O214" s="51"/>
      <c r="R214" s="53">
        <v>8.5299999999999994</v>
      </c>
    </row>
    <row r="215" spans="1:18" s="56" customFormat="1" ht="12" x14ac:dyDescent="0.2">
      <c r="A215" s="73" t="s">
        <v>409</v>
      </c>
      <c r="B215" s="73" t="s">
        <v>410</v>
      </c>
      <c r="C215" s="74" t="s">
        <v>411</v>
      </c>
      <c r="D215" s="73" t="s">
        <v>102</v>
      </c>
      <c r="E215" s="75">
        <v>6</v>
      </c>
      <c r="F215" s="75"/>
      <c r="G215" s="75"/>
      <c r="H215" s="75">
        <f t="shared" si="35"/>
        <v>22.59</v>
      </c>
      <c r="I215" s="75">
        <f t="shared" si="36"/>
        <v>28.82</v>
      </c>
      <c r="J215" s="76">
        <f t="shared" si="37"/>
        <v>135.54</v>
      </c>
      <c r="K215" s="76">
        <f t="shared" si="38"/>
        <v>172.92</v>
      </c>
      <c r="L215" s="76"/>
      <c r="M215" s="76"/>
      <c r="N215" s="76"/>
      <c r="O215" s="51"/>
      <c r="R215" s="53">
        <v>22.59</v>
      </c>
    </row>
    <row r="216" spans="1:18" s="56" customFormat="1" ht="12" x14ac:dyDescent="0.2">
      <c r="A216" s="72"/>
      <c r="B216" s="81">
        <v>41643</v>
      </c>
      <c r="C216" s="71" t="s">
        <v>412</v>
      </c>
      <c r="D216" s="72"/>
      <c r="E216" s="72"/>
      <c r="F216" s="72"/>
      <c r="G216" s="72"/>
      <c r="H216" s="75"/>
      <c r="I216" s="72"/>
      <c r="J216" s="72"/>
      <c r="K216" s="72"/>
      <c r="L216" s="72"/>
      <c r="M216" s="72"/>
      <c r="N216" s="72"/>
      <c r="O216" s="52"/>
      <c r="R216" s="52"/>
    </row>
    <row r="217" spans="1:18" s="56" customFormat="1" ht="12" x14ac:dyDescent="0.2">
      <c r="A217" s="94">
        <v>89408</v>
      </c>
      <c r="B217" s="73" t="s">
        <v>413</v>
      </c>
      <c r="C217" s="74" t="s">
        <v>414</v>
      </c>
      <c r="D217" s="73" t="s">
        <v>102</v>
      </c>
      <c r="E217" s="75">
        <v>91</v>
      </c>
      <c r="F217" s="75"/>
      <c r="G217" s="75"/>
      <c r="H217" s="75">
        <f t="shared" ref="H217:H227" si="39">ROUND(R217*$R$12,2)</f>
        <v>4.09</v>
      </c>
      <c r="I217" s="75">
        <f t="shared" ref="I217:I227" si="40">ROUND(H217*(1+$S$1),2)</f>
        <v>5.22</v>
      </c>
      <c r="J217" s="76">
        <f t="shared" ref="J217:J227" si="41">ROUND(E217*H217,2)</f>
        <v>372.19</v>
      </c>
      <c r="K217" s="76">
        <f t="shared" ref="K217:K227" si="42">ROUND(E217*I217,2)</f>
        <v>475.02</v>
      </c>
      <c r="L217" s="76"/>
      <c r="M217" s="76"/>
      <c r="N217" s="76"/>
      <c r="O217" s="51"/>
      <c r="R217" s="53">
        <v>4.09</v>
      </c>
    </row>
    <row r="218" spans="1:18" s="56" customFormat="1" ht="12" x14ac:dyDescent="0.2">
      <c r="A218" s="94">
        <v>89413</v>
      </c>
      <c r="B218" s="73" t="s">
        <v>415</v>
      </c>
      <c r="C218" s="74" t="s">
        <v>416</v>
      </c>
      <c r="D218" s="73" t="s">
        <v>102</v>
      </c>
      <c r="E218" s="75">
        <v>28</v>
      </c>
      <c r="F218" s="75"/>
      <c r="G218" s="75"/>
      <c r="H218" s="75">
        <f t="shared" si="39"/>
        <v>5.71</v>
      </c>
      <c r="I218" s="75">
        <f t="shared" si="40"/>
        <v>7.29</v>
      </c>
      <c r="J218" s="76">
        <f t="shared" si="41"/>
        <v>159.88</v>
      </c>
      <c r="K218" s="76">
        <f t="shared" si="42"/>
        <v>204.12</v>
      </c>
      <c r="L218" s="76"/>
      <c r="M218" s="76"/>
      <c r="N218" s="76"/>
      <c r="O218" s="51"/>
      <c r="R218" s="53">
        <v>5.71</v>
      </c>
    </row>
    <row r="219" spans="1:18" s="56" customFormat="1" ht="12" x14ac:dyDescent="0.2">
      <c r="A219" s="94">
        <v>89501</v>
      </c>
      <c r="B219" s="73" t="s">
        <v>417</v>
      </c>
      <c r="C219" s="74" t="s">
        <v>418</v>
      </c>
      <c r="D219" s="73" t="s">
        <v>102</v>
      </c>
      <c r="E219" s="75">
        <v>20</v>
      </c>
      <c r="F219" s="75"/>
      <c r="G219" s="75"/>
      <c r="H219" s="75">
        <f t="shared" si="39"/>
        <v>8.99</v>
      </c>
      <c r="I219" s="75">
        <f t="shared" si="40"/>
        <v>11.47</v>
      </c>
      <c r="J219" s="76">
        <f t="shared" si="41"/>
        <v>179.8</v>
      </c>
      <c r="K219" s="76">
        <f t="shared" si="42"/>
        <v>229.4</v>
      </c>
      <c r="L219" s="76"/>
      <c r="M219" s="76"/>
      <c r="N219" s="76"/>
      <c r="O219" s="51"/>
      <c r="R219" s="53">
        <v>8.99</v>
      </c>
    </row>
    <row r="220" spans="1:18" s="56" customFormat="1" ht="12" x14ac:dyDescent="0.2">
      <c r="A220" s="94">
        <v>89505</v>
      </c>
      <c r="B220" s="73" t="s">
        <v>419</v>
      </c>
      <c r="C220" s="74" t="s">
        <v>420</v>
      </c>
      <c r="D220" s="73" t="s">
        <v>102</v>
      </c>
      <c r="E220" s="75">
        <v>10</v>
      </c>
      <c r="F220" s="75"/>
      <c r="G220" s="75"/>
      <c r="H220" s="75">
        <f t="shared" si="39"/>
        <v>23.78</v>
      </c>
      <c r="I220" s="75">
        <f t="shared" si="40"/>
        <v>30.34</v>
      </c>
      <c r="J220" s="76">
        <f t="shared" si="41"/>
        <v>237.8</v>
      </c>
      <c r="K220" s="76">
        <f t="shared" si="42"/>
        <v>303.39999999999998</v>
      </c>
      <c r="L220" s="76"/>
      <c r="M220" s="76"/>
      <c r="N220" s="76"/>
      <c r="O220" s="51"/>
      <c r="R220" s="53">
        <v>23.78</v>
      </c>
    </row>
    <row r="221" spans="1:18" s="56" customFormat="1" ht="12" x14ac:dyDescent="0.2">
      <c r="A221" s="94">
        <v>89521</v>
      </c>
      <c r="B221" s="73" t="s">
        <v>421</v>
      </c>
      <c r="C221" s="74" t="s">
        <v>422</v>
      </c>
      <c r="D221" s="73" t="s">
        <v>102</v>
      </c>
      <c r="E221" s="75">
        <v>4</v>
      </c>
      <c r="F221" s="75"/>
      <c r="G221" s="75"/>
      <c r="H221" s="75">
        <f t="shared" si="39"/>
        <v>72.209999999999994</v>
      </c>
      <c r="I221" s="75">
        <f t="shared" si="40"/>
        <v>92.13</v>
      </c>
      <c r="J221" s="76">
        <f t="shared" si="41"/>
        <v>288.83999999999997</v>
      </c>
      <c r="K221" s="76">
        <f t="shared" si="42"/>
        <v>368.52</v>
      </c>
      <c r="L221" s="76"/>
      <c r="M221" s="76"/>
      <c r="N221" s="76"/>
      <c r="O221" s="51"/>
      <c r="R221" s="53">
        <v>72.209999999999994</v>
      </c>
    </row>
    <row r="222" spans="1:18" s="56" customFormat="1" ht="12" x14ac:dyDescent="0.2">
      <c r="A222" s="94">
        <v>89409</v>
      </c>
      <c r="B222" s="73" t="s">
        <v>423</v>
      </c>
      <c r="C222" s="74" t="s">
        <v>424</v>
      </c>
      <c r="D222" s="73" t="s">
        <v>102</v>
      </c>
      <c r="E222" s="75">
        <v>5</v>
      </c>
      <c r="F222" s="75"/>
      <c r="G222" s="75"/>
      <c r="H222" s="75">
        <f t="shared" si="39"/>
        <v>4.51</v>
      </c>
      <c r="I222" s="75">
        <f t="shared" si="40"/>
        <v>5.75</v>
      </c>
      <c r="J222" s="76">
        <f t="shared" si="41"/>
        <v>22.55</v>
      </c>
      <c r="K222" s="76">
        <f t="shared" si="42"/>
        <v>28.75</v>
      </c>
      <c r="L222" s="76"/>
      <c r="M222" s="76"/>
      <c r="N222" s="76"/>
      <c r="O222" s="51"/>
      <c r="R222" s="53">
        <v>4.51</v>
      </c>
    </row>
    <row r="223" spans="1:18" s="56" customFormat="1" ht="12" x14ac:dyDescent="0.2">
      <c r="A223" s="94">
        <v>89414</v>
      </c>
      <c r="B223" s="73" t="s">
        <v>425</v>
      </c>
      <c r="C223" s="74" t="s">
        <v>426</v>
      </c>
      <c r="D223" s="73" t="s">
        <v>102</v>
      </c>
      <c r="E223" s="75">
        <v>3</v>
      </c>
      <c r="F223" s="75"/>
      <c r="G223" s="75"/>
      <c r="H223" s="75">
        <f t="shared" si="39"/>
        <v>6.88</v>
      </c>
      <c r="I223" s="75">
        <f t="shared" si="40"/>
        <v>8.7799999999999994</v>
      </c>
      <c r="J223" s="76">
        <f t="shared" si="41"/>
        <v>20.64</v>
      </c>
      <c r="K223" s="76">
        <f t="shared" si="42"/>
        <v>26.34</v>
      </c>
      <c r="L223" s="76"/>
      <c r="M223" s="76"/>
      <c r="N223" s="76"/>
      <c r="O223" s="51"/>
      <c r="R223" s="53">
        <v>6.88</v>
      </c>
    </row>
    <row r="224" spans="1:18" s="56" customFormat="1" ht="12" x14ac:dyDescent="0.2">
      <c r="A224" s="94">
        <v>89502</v>
      </c>
      <c r="B224" s="73" t="s">
        <v>427</v>
      </c>
      <c r="C224" s="74" t="s">
        <v>428</v>
      </c>
      <c r="D224" s="73" t="s">
        <v>102</v>
      </c>
      <c r="E224" s="75">
        <v>2</v>
      </c>
      <c r="F224" s="75"/>
      <c r="G224" s="75"/>
      <c r="H224" s="75">
        <f t="shared" si="39"/>
        <v>9.86</v>
      </c>
      <c r="I224" s="75">
        <f t="shared" si="40"/>
        <v>12.58</v>
      </c>
      <c r="J224" s="76">
        <f t="shared" si="41"/>
        <v>19.72</v>
      </c>
      <c r="K224" s="76">
        <f t="shared" si="42"/>
        <v>25.16</v>
      </c>
      <c r="L224" s="76"/>
      <c r="M224" s="76"/>
      <c r="N224" s="76"/>
      <c r="O224" s="51"/>
      <c r="R224" s="53">
        <v>9.86</v>
      </c>
    </row>
    <row r="225" spans="1:18" s="56" customFormat="1" ht="24" x14ac:dyDescent="0.2">
      <c r="A225" s="94">
        <v>89366</v>
      </c>
      <c r="B225" s="73" t="s">
        <v>429</v>
      </c>
      <c r="C225" s="74" t="s">
        <v>430</v>
      </c>
      <c r="D225" s="73" t="s">
        <v>102</v>
      </c>
      <c r="E225" s="75">
        <v>12</v>
      </c>
      <c r="F225" s="75"/>
      <c r="G225" s="75"/>
      <c r="H225" s="75">
        <f t="shared" si="39"/>
        <v>10.4</v>
      </c>
      <c r="I225" s="75">
        <f t="shared" si="40"/>
        <v>13.27</v>
      </c>
      <c r="J225" s="76">
        <f t="shared" si="41"/>
        <v>124.8</v>
      </c>
      <c r="K225" s="76">
        <f t="shared" si="42"/>
        <v>159.24</v>
      </c>
      <c r="L225" s="76"/>
      <c r="M225" s="76"/>
      <c r="N225" s="76"/>
      <c r="O225" s="51"/>
      <c r="R225" s="53">
        <v>10.4</v>
      </c>
    </row>
    <row r="226" spans="1:18" s="56" customFormat="1" ht="24" x14ac:dyDescent="0.2">
      <c r="A226" s="94">
        <v>90373</v>
      </c>
      <c r="B226" s="73" t="s">
        <v>431</v>
      </c>
      <c r="C226" s="74" t="s">
        <v>432</v>
      </c>
      <c r="D226" s="73" t="s">
        <v>102</v>
      </c>
      <c r="E226" s="75">
        <v>64</v>
      </c>
      <c r="F226" s="75"/>
      <c r="G226" s="75"/>
      <c r="H226" s="75">
        <f t="shared" si="39"/>
        <v>9.6</v>
      </c>
      <c r="I226" s="75">
        <f t="shared" si="40"/>
        <v>12.25</v>
      </c>
      <c r="J226" s="76">
        <f t="shared" si="41"/>
        <v>614.4</v>
      </c>
      <c r="K226" s="76">
        <f t="shared" si="42"/>
        <v>784</v>
      </c>
      <c r="L226" s="76"/>
      <c r="M226" s="76"/>
      <c r="N226" s="76"/>
      <c r="O226" s="51"/>
      <c r="R226" s="53">
        <v>9.6</v>
      </c>
    </row>
    <row r="227" spans="1:18" s="56" customFormat="1" ht="12" x14ac:dyDescent="0.2">
      <c r="A227" s="73" t="s">
        <v>433</v>
      </c>
      <c r="B227" s="73" t="s">
        <v>434</v>
      </c>
      <c r="C227" s="74" t="s">
        <v>435</v>
      </c>
      <c r="D227" s="73" t="s">
        <v>102</v>
      </c>
      <c r="E227" s="75">
        <v>13</v>
      </c>
      <c r="F227" s="75"/>
      <c r="G227" s="75"/>
      <c r="H227" s="75">
        <f t="shared" si="39"/>
        <v>7.38</v>
      </c>
      <c r="I227" s="75">
        <f t="shared" si="40"/>
        <v>9.42</v>
      </c>
      <c r="J227" s="76">
        <f t="shared" si="41"/>
        <v>95.94</v>
      </c>
      <c r="K227" s="76">
        <f t="shared" si="42"/>
        <v>122.46</v>
      </c>
      <c r="L227" s="76"/>
      <c r="M227" s="76"/>
      <c r="N227" s="76"/>
      <c r="O227" s="51"/>
      <c r="R227" s="53">
        <v>7.38</v>
      </c>
    </row>
    <row r="228" spans="1:18" s="56" customFormat="1" ht="12" x14ac:dyDescent="0.2">
      <c r="A228" s="72"/>
      <c r="B228" s="81">
        <v>41644</v>
      </c>
      <c r="C228" s="71" t="s">
        <v>436</v>
      </c>
      <c r="D228" s="72"/>
      <c r="E228" s="72"/>
      <c r="F228" s="72"/>
      <c r="G228" s="72"/>
      <c r="H228" s="75"/>
      <c r="I228" s="72"/>
      <c r="J228" s="72"/>
      <c r="K228" s="72"/>
      <c r="L228" s="72"/>
      <c r="M228" s="72"/>
      <c r="N228" s="72"/>
      <c r="O228" s="52"/>
      <c r="R228" s="52"/>
    </row>
    <row r="229" spans="1:18" s="56" customFormat="1" ht="12" x14ac:dyDescent="0.2">
      <c r="A229" s="94">
        <v>89424</v>
      </c>
      <c r="B229" s="73" t="s">
        <v>437</v>
      </c>
      <c r="C229" s="74" t="s">
        <v>438</v>
      </c>
      <c r="D229" s="73" t="s">
        <v>102</v>
      </c>
      <c r="E229" s="75">
        <v>12</v>
      </c>
      <c r="F229" s="75"/>
      <c r="G229" s="75"/>
      <c r="H229" s="75">
        <f t="shared" ref="H229:H234" si="43">ROUND(R229*$R$12,2)</f>
        <v>3.06</v>
      </c>
      <c r="I229" s="75">
        <f t="shared" ref="I229:I234" si="44">ROUND(H229*(1+$S$1),2)</f>
        <v>3.9</v>
      </c>
      <c r="J229" s="76">
        <f t="shared" ref="J229:J234" si="45">ROUND(E229*H229,2)</f>
        <v>36.72</v>
      </c>
      <c r="K229" s="76">
        <f t="shared" ref="K229:K234" si="46">ROUND(E229*I229,2)</f>
        <v>46.8</v>
      </c>
      <c r="L229" s="76"/>
      <c r="M229" s="76"/>
      <c r="N229" s="76"/>
      <c r="O229" s="51"/>
      <c r="R229" s="53">
        <v>3.06</v>
      </c>
    </row>
    <row r="230" spans="1:18" s="56" customFormat="1" ht="12" x14ac:dyDescent="0.2">
      <c r="A230" s="94">
        <v>89431</v>
      </c>
      <c r="B230" s="73" t="s">
        <v>439</v>
      </c>
      <c r="C230" s="74" t="s">
        <v>440</v>
      </c>
      <c r="D230" s="73" t="s">
        <v>102</v>
      </c>
      <c r="E230" s="75">
        <v>12</v>
      </c>
      <c r="F230" s="75"/>
      <c r="G230" s="75"/>
      <c r="H230" s="75">
        <f t="shared" si="43"/>
        <v>4.18</v>
      </c>
      <c r="I230" s="75">
        <f t="shared" si="44"/>
        <v>5.33</v>
      </c>
      <c r="J230" s="76">
        <f t="shared" si="45"/>
        <v>50.16</v>
      </c>
      <c r="K230" s="76">
        <f t="shared" si="46"/>
        <v>63.96</v>
      </c>
      <c r="L230" s="76"/>
      <c r="M230" s="76"/>
      <c r="N230" s="76"/>
      <c r="O230" s="51"/>
      <c r="R230" s="53">
        <v>4.18</v>
      </c>
    </row>
    <row r="231" spans="1:18" s="56" customFormat="1" ht="12" x14ac:dyDescent="0.2">
      <c r="A231" s="94">
        <v>89575</v>
      </c>
      <c r="B231" s="73" t="s">
        <v>441</v>
      </c>
      <c r="C231" s="74" t="s">
        <v>442</v>
      </c>
      <c r="D231" s="73" t="s">
        <v>102</v>
      </c>
      <c r="E231" s="75">
        <v>7</v>
      </c>
      <c r="F231" s="75"/>
      <c r="G231" s="75"/>
      <c r="H231" s="75">
        <f t="shared" si="43"/>
        <v>6.7</v>
      </c>
      <c r="I231" s="75">
        <f t="shared" si="44"/>
        <v>8.5500000000000007</v>
      </c>
      <c r="J231" s="76">
        <f t="shared" si="45"/>
        <v>46.9</v>
      </c>
      <c r="K231" s="76">
        <f t="shared" si="46"/>
        <v>59.85</v>
      </c>
      <c r="L231" s="76"/>
      <c r="M231" s="76"/>
      <c r="N231" s="76"/>
      <c r="O231" s="51"/>
      <c r="R231" s="53">
        <v>6.7</v>
      </c>
    </row>
    <row r="232" spans="1:18" s="56" customFormat="1" ht="12" x14ac:dyDescent="0.2">
      <c r="A232" s="94">
        <v>89597</v>
      </c>
      <c r="B232" s="73" t="s">
        <v>443</v>
      </c>
      <c r="C232" s="74" t="s">
        <v>444</v>
      </c>
      <c r="D232" s="73" t="s">
        <v>102</v>
      </c>
      <c r="E232" s="75">
        <v>3</v>
      </c>
      <c r="F232" s="75"/>
      <c r="G232" s="75"/>
      <c r="H232" s="75">
        <f t="shared" si="43"/>
        <v>12.3</v>
      </c>
      <c r="I232" s="75">
        <f t="shared" si="44"/>
        <v>15.69</v>
      </c>
      <c r="J232" s="76">
        <f t="shared" si="45"/>
        <v>36.9</v>
      </c>
      <c r="K232" s="76">
        <f t="shared" si="46"/>
        <v>47.07</v>
      </c>
      <c r="L232" s="76"/>
      <c r="M232" s="76"/>
      <c r="N232" s="76"/>
      <c r="O232" s="51"/>
      <c r="R232" s="53">
        <v>12.3</v>
      </c>
    </row>
    <row r="233" spans="1:18" s="56" customFormat="1" ht="12" x14ac:dyDescent="0.2">
      <c r="A233" s="94">
        <v>89614</v>
      </c>
      <c r="B233" s="73" t="s">
        <v>445</v>
      </c>
      <c r="C233" s="74" t="s">
        <v>446</v>
      </c>
      <c r="D233" s="73" t="s">
        <v>102</v>
      </c>
      <c r="E233" s="75">
        <v>7</v>
      </c>
      <c r="F233" s="75"/>
      <c r="G233" s="75"/>
      <c r="H233" s="75">
        <f t="shared" si="43"/>
        <v>33.06</v>
      </c>
      <c r="I233" s="75">
        <f t="shared" si="44"/>
        <v>42.18</v>
      </c>
      <c r="J233" s="76">
        <f t="shared" si="45"/>
        <v>231.42</v>
      </c>
      <c r="K233" s="76">
        <f t="shared" si="46"/>
        <v>295.26</v>
      </c>
      <c r="L233" s="76"/>
      <c r="M233" s="76"/>
      <c r="N233" s="76"/>
      <c r="O233" s="51"/>
      <c r="R233" s="53">
        <v>33.06</v>
      </c>
    </row>
    <row r="234" spans="1:18" s="56" customFormat="1" ht="12" x14ac:dyDescent="0.2">
      <c r="A234" s="73" t="s">
        <v>447</v>
      </c>
      <c r="B234" s="73" t="s">
        <v>448</v>
      </c>
      <c r="C234" s="74" t="s">
        <v>449</v>
      </c>
      <c r="D234" s="73" t="s">
        <v>102</v>
      </c>
      <c r="E234" s="75">
        <v>8</v>
      </c>
      <c r="F234" s="75"/>
      <c r="G234" s="75"/>
      <c r="H234" s="75">
        <f t="shared" si="43"/>
        <v>4.53</v>
      </c>
      <c r="I234" s="75">
        <f t="shared" si="44"/>
        <v>5.78</v>
      </c>
      <c r="J234" s="76">
        <f t="shared" si="45"/>
        <v>36.24</v>
      </c>
      <c r="K234" s="76">
        <f t="shared" si="46"/>
        <v>46.24</v>
      </c>
      <c r="L234" s="76"/>
      <c r="M234" s="76"/>
      <c r="N234" s="76"/>
      <c r="O234" s="51"/>
      <c r="R234" s="53">
        <v>4.53</v>
      </c>
    </row>
    <row r="235" spans="1:18" s="56" customFormat="1" ht="12" x14ac:dyDescent="0.2">
      <c r="A235" s="72"/>
      <c r="B235" s="81">
        <v>41645</v>
      </c>
      <c r="C235" s="71" t="s">
        <v>450</v>
      </c>
      <c r="D235" s="72"/>
      <c r="E235" s="72"/>
      <c r="F235" s="72"/>
      <c r="G235" s="72"/>
      <c r="H235" s="75"/>
      <c r="I235" s="72"/>
      <c r="J235" s="72"/>
      <c r="K235" s="72"/>
      <c r="L235" s="72"/>
      <c r="M235" s="72"/>
      <c r="N235" s="72"/>
      <c r="O235" s="52"/>
      <c r="R235" s="52"/>
    </row>
    <row r="236" spans="1:18" s="56" customFormat="1" ht="12" x14ac:dyDescent="0.2">
      <c r="A236" s="94">
        <v>89440</v>
      </c>
      <c r="B236" s="73" t="s">
        <v>451</v>
      </c>
      <c r="C236" s="74" t="s">
        <v>452</v>
      </c>
      <c r="D236" s="73" t="s">
        <v>102</v>
      </c>
      <c r="E236" s="75">
        <v>17</v>
      </c>
      <c r="F236" s="75"/>
      <c r="G236" s="75"/>
      <c r="H236" s="75">
        <f t="shared" ref="H236:H246" si="47">ROUND(R236*$R$12,2)</f>
        <v>5.76</v>
      </c>
      <c r="I236" s="75">
        <f t="shared" ref="I236:I246" si="48">ROUND(H236*(1+$S$1),2)</f>
        <v>7.35</v>
      </c>
      <c r="J236" s="76">
        <f t="shared" ref="J236:J246" si="49">ROUND(E236*H236,2)</f>
        <v>97.92</v>
      </c>
      <c r="K236" s="76">
        <f t="shared" ref="K236:K246" si="50">ROUND(E236*I236,2)</f>
        <v>124.95</v>
      </c>
      <c r="L236" s="76"/>
      <c r="M236" s="76"/>
      <c r="N236" s="76"/>
      <c r="O236" s="51"/>
      <c r="R236" s="53">
        <v>5.76</v>
      </c>
    </row>
    <row r="237" spans="1:18" s="56" customFormat="1" ht="12" x14ac:dyDescent="0.2">
      <c r="A237" s="94">
        <v>89443</v>
      </c>
      <c r="B237" s="73" t="s">
        <v>453</v>
      </c>
      <c r="C237" s="74" t="s">
        <v>454</v>
      </c>
      <c r="D237" s="73" t="s">
        <v>102</v>
      </c>
      <c r="E237" s="75">
        <v>13</v>
      </c>
      <c r="F237" s="75"/>
      <c r="G237" s="75"/>
      <c r="H237" s="75">
        <f t="shared" si="47"/>
        <v>8.1999999999999993</v>
      </c>
      <c r="I237" s="75">
        <f t="shared" si="48"/>
        <v>10.46</v>
      </c>
      <c r="J237" s="76">
        <f t="shared" si="49"/>
        <v>106.6</v>
      </c>
      <c r="K237" s="76">
        <f t="shared" si="50"/>
        <v>135.97999999999999</v>
      </c>
      <c r="L237" s="76"/>
      <c r="M237" s="76"/>
      <c r="N237" s="76"/>
      <c r="O237" s="51"/>
      <c r="R237" s="53">
        <v>8.1999999999999993</v>
      </c>
    </row>
    <row r="238" spans="1:18" s="56" customFormat="1" ht="12" x14ac:dyDescent="0.2">
      <c r="A238" s="94">
        <v>89625</v>
      </c>
      <c r="B238" s="73" t="s">
        <v>455</v>
      </c>
      <c r="C238" s="74" t="s">
        <v>456</v>
      </c>
      <c r="D238" s="73" t="s">
        <v>102</v>
      </c>
      <c r="E238" s="75">
        <v>17</v>
      </c>
      <c r="F238" s="75"/>
      <c r="G238" s="75"/>
      <c r="H238" s="75">
        <f t="shared" si="47"/>
        <v>13.75</v>
      </c>
      <c r="I238" s="75">
        <f t="shared" si="48"/>
        <v>17.54</v>
      </c>
      <c r="J238" s="76">
        <f t="shared" si="49"/>
        <v>233.75</v>
      </c>
      <c r="K238" s="76">
        <f t="shared" si="50"/>
        <v>298.18</v>
      </c>
      <c r="L238" s="76"/>
      <c r="M238" s="76"/>
      <c r="N238" s="76"/>
      <c r="O238" s="51"/>
      <c r="R238" s="53">
        <v>13.75</v>
      </c>
    </row>
    <row r="239" spans="1:18" s="56" customFormat="1" ht="12" x14ac:dyDescent="0.2">
      <c r="A239" s="94">
        <v>89628</v>
      </c>
      <c r="B239" s="73" t="s">
        <v>457</v>
      </c>
      <c r="C239" s="74" t="s">
        <v>458</v>
      </c>
      <c r="D239" s="73" t="s">
        <v>102</v>
      </c>
      <c r="E239" s="75">
        <v>8</v>
      </c>
      <c r="F239" s="75"/>
      <c r="G239" s="75"/>
      <c r="H239" s="75">
        <f t="shared" si="47"/>
        <v>27.72</v>
      </c>
      <c r="I239" s="75">
        <f t="shared" si="48"/>
        <v>35.369999999999997</v>
      </c>
      <c r="J239" s="76">
        <f t="shared" si="49"/>
        <v>221.76</v>
      </c>
      <c r="K239" s="76">
        <f t="shared" si="50"/>
        <v>282.95999999999998</v>
      </c>
      <c r="L239" s="76"/>
      <c r="M239" s="76"/>
      <c r="N239" s="76"/>
      <c r="O239" s="51"/>
      <c r="R239" s="53">
        <v>27.72</v>
      </c>
    </row>
    <row r="240" spans="1:18" s="56" customFormat="1" ht="12" x14ac:dyDescent="0.2">
      <c r="A240" s="94">
        <v>89631</v>
      </c>
      <c r="B240" s="73" t="s">
        <v>459</v>
      </c>
      <c r="C240" s="74" t="s">
        <v>460</v>
      </c>
      <c r="D240" s="73" t="s">
        <v>102</v>
      </c>
      <c r="E240" s="75">
        <v>6</v>
      </c>
      <c r="F240" s="75"/>
      <c r="G240" s="75"/>
      <c r="H240" s="75">
        <f t="shared" si="47"/>
        <v>71.03</v>
      </c>
      <c r="I240" s="75">
        <f t="shared" si="48"/>
        <v>90.63</v>
      </c>
      <c r="J240" s="76">
        <f t="shared" si="49"/>
        <v>426.18</v>
      </c>
      <c r="K240" s="76">
        <f t="shared" si="50"/>
        <v>543.78</v>
      </c>
      <c r="L240" s="76"/>
      <c r="M240" s="76"/>
      <c r="N240" s="76"/>
      <c r="O240" s="51"/>
      <c r="R240" s="53">
        <v>71.03</v>
      </c>
    </row>
    <row r="241" spans="1:18" s="56" customFormat="1" ht="24" x14ac:dyDescent="0.2">
      <c r="A241" s="73" t="s">
        <v>78</v>
      </c>
      <c r="B241" s="73" t="s">
        <v>461</v>
      </c>
      <c r="C241" s="74" t="s">
        <v>462</v>
      </c>
      <c r="D241" s="73" t="s">
        <v>102</v>
      </c>
      <c r="E241" s="75">
        <v>13</v>
      </c>
      <c r="F241" s="75"/>
      <c r="G241" s="75"/>
      <c r="H241" s="75">
        <f t="shared" si="47"/>
        <v>12.99</v>
      </c>
      <c r="I241" s="75">
        <f t="shared" si="48"/>
        <v>16.57</v>
      </c>
      <c r="J241" s="76">
        <f t="shared" si="49"/>
        <v>168.87</v>
      </c>
      <c r="K241" s="76">
        <f t="shared" si="50"/>
        <v>215.41</v>
      </c>
      <c r="L241" s="76"/>
      <c r="M241" s="76"/>
      <c r="N241" s="76"/>
      <c r="O241" s="51"/>
      <c r="R241" s="53">
        <v>12.99</v>
      </c>
    </row>
    <row r="242" spans="1:18" s="56" customFormat="1" ht="24" x14ac:dyDescent="0.2">
      <c r="A242" s="73" t="s">
        <v>78</v>
      </c>
      <c r="B242" s="73" t="s">
        <v>463</v>
      </c>
      <c r="C242" s="74" t="s">
        <v>464</v>
      </c>
      <c r="D242" s="73" t="s">
        <v>102</v>
      </c>
      <c r="E242" s="75">
        <v>4</v>
      </c>
      <c r="F242" s="75"/>
      <c r="G242" s="75"/>
      <c r="H242" s="75">
        <f t="shared" si="47"/>
        <v>14.25</v>
      </c>
      <c r="I242" s="75">
        <f t="shared" si="48"/>
        <v>18.18</v>
      </c>
      <c r="J242" s="76">
        <f t="shared" si="49"/>
        <v>57</v>
      </c>
      <c r="K242" s="76">
        <f t="shared" si="50"/>
        <v>72.72</v>
      </c>
      <c r="L242" s="76"/>
      <c r="M242" s="76"/>
      <c r="N242" s="76"/>
      <c r="O242" s="51"/>
      <c r="R242" s="53">
        <v>14.25</v>
      </c>
    </row>
    <row r="243" spans="1:18" s="56" customFormat="1" ht="12" x14ac:dyDescent="0.2">
      <c r="A243" s="94">
        <v>89400</v>
      </c>
      <c r="B243" s="73" t="s">
        <v>465</v>
      </c>
      <c r="C243" s="74" t="s">
        <v>466</v>
      </c>
      <c r="D243" s="73" t="s">
        <v>102</v>
      </c>
      <c r="E243" s="75">
        <v>26</v>
      </c>
      <c r="F243" s="75"/>
      <c r="G243" s="75"/>
      <c r="H243" s="75">
        <f t="shared" si="47"/>
        <v>13.19</v>
      </c>
      <c r="I243" s="75">
        <f t="shared" si="48"/>
        <v>16.829999999999998</v>
      </c>
      <c r="J243" s="76">
        <f t="shared" si="49"/>
        <v>342.94</v>
      </c>
      <c r="K243" s="76">
        <f t="shared" si="50"/>
        <v>437.58</v>
      </c>
      <c r="L243" s="76"/>
      <c r="M243" s="76"/>
      <c r="N243" s="76"/>
      <c r="O243" s="51"/>
      <c r="R243" s="53">
        <v>13.19</v>
      </c>
    </row>
    <row r="244" spans="1:18" s="56" customFormat="1" ht="12" x14ac:dyDescent="0.2">
      <c r="A244" s="94">
        <v>89627</v>
      </c>
      <c r="B244" s="73" t="s">
        <v>467</v>
      </c>
      <c r="C244" s="74" t="s">
        <v>468</v>
      </c>
      <c r="D244" s="73" t="s">
        <v>102</v>
      </c>
      <c r="E244" s="75">
        <v>3</v>
      </c>
      <c r="F244" s="75"/>
      <c r="G244" s="75"/>
      <c r="H244" s="75">
        <f t="shared" si="47"/>
        <v>13.53</v>
      </c>
      <c r="I244" s="75">
        <f t="shared" si="48"/>
        <v>17.260000000000002</v>
      </c>
      <c r="J244" s="76">
        <f t="shared" si="49"/>
        <v>40.590000000000003</v>
      </c>
      <c r="K244" s="76">
        <f t="shared" si="50"/>
        <v>51.78</v>
      </c>
      <c r="L244" s="76"/>
      <c r="M244" s="76"/>
      <c r="N244" s="76"/>
      <c r="O244" s="51"/>
      <c r="R244" s="53">
        <v>13.53</v>
      </c>
    </row>
    <row r="245" spans="1:18" s="56" customFormat="1" ht="12" x14ac:dyDescent="0.2">
      <c r="A245" s="73" t="s">
        <v>78</v>
      </c>
      <c r="B245" s="73" t="s">
        <v>469</v>
      </c>
      <c r="C245" s="74" t="s">
        <v>470</v>
      </c>
      <c r="D245" s="73" t="s">
        <v>102</v>
      </c>
      <c r="E245" s="75">
        <v>2</v>
      </c>
      <c r="F245" s="75"/>
      <c r="G245" s="75"/>
      <c r="H245" s="75">
        <f t="shared" si="47"/>
        <v>26.32</v>
      </c>
      <c r="I245" s="75">
        <f t="shared" si="48"/>
        <v>33.58</v>
      </c>
      <c r="J245" s="76">
        <f t="shared" si="49"/>
        <v>52.64</v>
      </c>
      <c r="K245" s="76">
        <f t="shared" si="50"/>
        <v>67.16</v>
      </c>
      <c r="L245" s="76"/>
      <c r="M245" s="76"/>
      <c r="N245" s="76"/>
      <c r="O245" s="51"/>
      <c r="R245" s="53">
        <v>26.32</v>
      </c>
    </row>
    <row r="246" spans="1:18" s="56" customFormat="1" ht="12" x14ac:dyDescent="0.2">
      <c r="A246" s="94">
        <v>89632</v>
      </c>
      <c r="B246" s="73" t="s">
        <v>471</v>
      </c>
      <c r="C246" s="74" t="s">
        <v>472</v>
      </c>
      <c r="D246" s="73" t="s">
        <v>102</v>
      </c>
      <c r="E246" s="75">
        <v>14</v>
      </c>
      <c r="F246" s="75"/>
      <c r="G246" s="75"/>
      <c r="H246" s="75">
        <f t="shared" si="47"/>
        <v>61.2</v>
      </c>
      <c r="I246" s="75">
        <f t="shared" si="48"/>
        <v>78.09</v>
      </c>
      <c r="J246" s="76">
        <f t="shared" si="49"/>
        <v>856.8</v>
      </c>
      <c r="K246" s="76">
        <f t="shared" si="50"/>
        <v>1093.26</v>
      </c>
      <c r="L246" s="76"/>
      <c r="M246" s="76"/>
      <c r="N246" s="76"/>
      <c r="O246" s="51"/>
      <c r="R246" s="53">
        <v>61.2</v>
      </c>
    </row>
    <row r="247" spans="1:18" s="56" customFormat="1" ht="12" x14ac:dyDescent="0.2">
      <c r="A247" s="72"/>
      <c r="B247" s="81">
        <v>41646</v>
      </c>
      <c r="C247" s="71" t="s">
        <v>473</v>
      </c>
      <c r="D247" s="72"/>
      <c r="E247" s="72"/>
      <c r="F247" s="72"/>
      <c r="G247" s="72"/>
      <c r="H247" s="75"/>
      <c r="I247" s="72"/>
      <c r="J247" s="72"/>
      <c r="K247" s="72"/>
      <c r="L247" s="72"/>
      <c r="M247" s="72"/>
      <c r="N247" s="72"/>
      <c r="O247" s="52"/>
      <c r="R247" s="52"/>
    </row>
    <row r="248" spans="1:18" s="56" customFormat="1" ht="12" x14ac:dyDescent="0.2">
      <c r="A248" s="94">
        <v>89382</v>
      </c>
      <c r="B248" s="73" t="s">
        <v>474</v>
      </c>
      <c r="C248" s="74" t="s">
        <v>475</v>
      </c>
      <c r="D248" s="73" t="s">
        <v>102</v>
      </c>
      <c r="E248" s="75">
        <v>2</v>
      </c>
      <c r="F248" s="75"/>
      <c r="G248" s="75"/>
      <c r="H248" s="75">
        <f>ROUND(R248*$R$12,2)</f>
        <v>8.39</v>
      </c>
      <c r="I248" s="75">
        <f>ROUND(H248*(1+$S$1),2)</f>
        <v>10.7</v>
      </c>
      <c r="J248" s="76">
        <f>ROUND(E248*H248,2)</f>
        <v>16.78</v>
      </c>
      <c r="K248" s="76">
        <f>ROUND(E248*I248,2)</f>
        <v>21.4</v>
      </c>
      <c r="L248" s="76"/>
      <c r="M248" s="76"/>
      <c r="N248" s="76"/>
      <c r="O248" s="51"/>
      <c r="R248" s="53">
        <v>8.39</v>
      </c>
    </row>
    <row r="249" spans="1:18" s="56" customFormat="1" ht="12" x14ac:dyDescent="0.2">
      <c r="A249" s="94">
        <v>89390</v>
      </c>
      <c r="B249" s="73" t="s">
        <v>476</v>
      </c>
      <c r="C249" s="74" t="s">
        <v>477</v>
      </c>
      <c r="D249" s="73" t="s">
        <v>102</v>
      </c>
      <c r="E249" s="75">
        <v>2</v>
      </c>
      <c r="F249" s="75"/>
      <c r="G249" s="75"/>
      <c r="H249" s="75">
        <f>ROUND(R249*$R$12,2)</f>
        <v>12.33</v>
      </c>
      <c r="I249" s="75">
        <f>ROUND(H249*(1+$S$1),2)</f>
        <v>15.73</v>
      </c>
      <c r="J249" s="76">
        <f>ROUND(E249*H249,2)</f>
        <v>24.66</v>
      </c>
      <c r="K249" s="76">
        <f>ROUND(E249*I249,2)</f>
        <v>31.46</v>
      </c>
      <c r="L249" s="76"/>
      <c r="M249" s="76"/>
      <c r="N249" s="76"/>
      <c r="O249" s="51"/>
      <c r="R249" s="53">
        <v>12.33</v>
      </c>
    </row>
    <row r="250" spans="1:18" s="56" customFormat="1" ht="12" x14ac:dyDescent="0.2">
      <c r="A250" s="94">
        <v>89594</v>
      </c>
      <c r="B250" s="73" t="s">
        <v>478</v>
      </c>
      <c r="C250" s="74" t="s">
        <v>479</v>
      </c>
      <c r="D250" s="73" t="s">
        <v>102</v>
      </c>
      <c r="E250" s="75">
        <v>4</v>
      </c>
      <c r="F250" s="75"/>
      <c r="G250" s="75"/>
      <c r="H250" s="75">
        <f>ROUND(R250*$R$12,2)</f>
        <v>21.53</v>
      </c>
      <c r="I250" s="75">
        <f>ROUND(H250*(1+$S$1),2)</f>
        <v>27.47</v>
      </c>
      <c r="J250" s="76">
        <f>ROUND(E250*H250,2)</f>
        <v>86.12</v>
      </c>
      <c r="K250" s="76">
        <f>ROUND(E250*I250,2)</f>
        <v>109.88</v>
      </c>
      <c r="L250" s="76"/>
      <c r="M250" s="76"/>
      <c r="N250" s="76"/>
      <c r="O250" s="51"/>
      <c r="R250" s="53">
        <v>21.53</v>
      </c>
    </row>
    <row r="251" spans="1:18" s="56" customFormat="1" ht="12" x14ac:dyDescent="0.2">
      <c r="A251" s="94">
        <v>89615</v>
      </c>
      <c r="B251" s="73" t="s">
        <v>480</v>
      </c>
      <c r="C251" s="74" t="s">
        <v>481</v>
      </c>
      <c r="D251" s="73" t="s">
        <v>102</v>
      </c>
      <c r="E251" s="75">
        <v>2</v>
      </c>
      <c r="F251" s="75"/>
      <c r="G251" s="75"/>
      <c r="H251" s="75">
        <f>ROUND(R251*$R$12,2)</f>
        <v>133.13999999999999</v>
      </c>
      <c r="I251" s="75">
        <f>ROUND(H251*(1+$S$1),2)</f>
        <v>169.87</v>
      </c>
      <c r="J251" s="76">
        <f>ROUND(E251*H251,2)</f>
        <v>266.27999999999997</v>
      </c>
      <c r="K251" s="76">
        <f>ROUND(E251*I251,2)</f>
        <v>339.74</v>
      </c>
      <c r="L251" s="76"/>
      <c r="M251" s="76"/>
      <c r="N251" s="76"/>
      <c r="O251" s="51"/>
      <c r="R251" s="53">
        <v>133.13999999999999</v>
      </c>
    </row>
    <row r="252" spans="1:18" s="56" customFormat="1" ht="12" x14ac:dyDescent="0.2">
      <c r="A252" s="72"/>
      <c r="B252" s="81">
        <v>41647</v>
      </c>
      <c r="C252" s="71" t="s">
        <v>482</v>
      </c>
      <c r="D252" s="72"/>
      <c r="E252" s="72"/>
      <c r="F252" s="72"/>
      <c r="G252" s="72"/>
      <c r="H252" s="75"/>
      <c r="I252" s="72"/>
      <c r="J252" s="72"/>
      <c r="K252" s="72"/>
      <c r="L252" s="72"/>
      <c r="M252" s="72"/>
      <c r="N252" s="72"/>
      <c r="O252" s="52"/>
      <c r="R252" s="52"/>
    </row>
    <row r="253" spans="1:18" s="56" customFormat="1" ht="12" x14ac:dyDescent="0.2">
      <c r="A253" s="73" t="s">
        <v>483</v>
      </c>
      <c r="B253" s="73" t="s">
        <v>484</v>
      </c>
      <c r="C253" s="74" t="s">
        <v>485</v>
      </c>
      <c r="D253" s="73" t="s">
        <v>102</v>
      </c>
      <c r="E253" s="75">
        <v>74</v>
      </c>
      <c r="F253" s="75"/>
      <c r="G253" s="75"/>
      <c r="H253" s="75">
        <f>ROUND(R253*$R$12,2)</f>
        <v>1.81</v>
      </c>
      <c r="I253" s="75">
        <f>ROUND(H253*(1+$S$1),2)</f>
        <v>2.31</v>
      </c>
      <c r="J253" s="76">
        <f>ROUND(E253*H253,2)</f>
        <v>133.94</v>
      </c>
      <c r="K253" s="76">
        <f>ROUND(E253*I253,2)</f>
        <v>170.94</v>
      </c>
      <c r="L253" s="76"/>
      <c r="M253" s="76"/>
      <c r="N253" s="76"/>
      <c r="O253" s="51"/>
      <c r="R253" s="53">
        <v>1.81</v>
      </c>
    </row>
    <row r="254" spans="1:18" s="56" customFormat="1" ht="12" x14ac:dyDescent="0.2">
      <c r="A254" s="73" t="s">
        <v>486</v>
      </c>
      <c r="B254" s="73" t="s">
        <v>487</v>
      </c>
      <c r="C254" s="74" t="s">
        <v>488</v>
      </c>
      <c r="D254" s="73" t="s">
        <v>102</v>
      </c>
      <c r="E254" s="75">
        <v>17</v>
      </c>
      <c r="F254" s="75"/>
      <c r="G254" s="75"/>
      <c r="H254" s="75">
        <f>ROUND(R254*$R$12,2)</f>
        <v>2.93</v>
      </c>
      <c r="I254" s="75">
        <f>ROUND(H254*(1+$S$1),2)</f>
        <v>3.74</v>
      </c>
      <c r="J254" s="76">
        <f>ROUND(E254*H254,2)</f>
        <v>49.81</v>
      </c>
      <c r="K254" s="76">
        <f>ROUND(E254*I254,2)</f>
        <v>63.58</v>
      </c>
      <c r="L254" s="76"/>
      <c r="M254" s="76"/>
      <c r="N254" s="76"/>
      <c r="O254" s="51"/>
      <c r="R254" s="53">
        <v>2.93</v>
      </c>
    </row>
    <row r="255" spans="1:18" s="56" customFormat="1" ht="12" x14ac:dyDescent="0.2">
      <c r="A255" s="73" t="s">
        <v>78</v>
      </c>
      <c r="B255" s="73" t="s">
        <v>489</v>
      </c>
      <c r="C255" s="74" t="s">
        <v>490</v>
      </c>
      <c r="D255" s="73" t="s">
        <v>102</v>
      </c>
      <c r="E255" s="75">
        <v>23</v>
      </c>
      <c r="F255" s="75"/>
      <c r="G255" s="75"/>
      <c r="H255" s="75">
        <f>ROUND(R255*$R$12,2)</f>
        <v>4.1100000000000003</v>
      </c>
      <c r="I255" s="75">
        <f>ROUND(H255*(1+$S$1),2)</f>
        <v>5.24</v>
      </c>
      <c r="J255" s="76">
        <f>ROUND(E255*H255,2)</f>
        <v>94.53</v>
      </c>
      <c r="K255" s="76">
        <f>ROUND(E255*I255,2)</f>
        <v>120.52</v>
      </c>
      <c r="L255" s="76"/>
      <c r="M255" s="76"/>
      <c r="N255" s="76"/>
      <c r="O255" s="51"/>
      <c r="R255" s="53">
        <v>4.1100000000000003</v>
      </c>
    </row>
    <row r="256" spans="1:18" s="56" customFormat="1" ht="12" x14ac:dyDescent="0.2">
      <c r="A256" s="72"/>
      <c r="B256" s="71"/>
      <c r="C256" s="71"/>
      <c r="D256" s="71"/>
      <c r="E256" s="71"/>
      <c r="F256" s="71"/>
      <c r="G256" s="71"/>
      <c r="H256" s="75"/>
      <c r="I256" s="77" t="s">
        <v>491</v>
      </c>
      <c r="J256" s="78">
        <f>SUM(J194:J255)</f>
        <v>19786.979999999981</v>
      </c>
      <c r="K256" s="78">
        <f>SUM(K194:K255)</f>
        <v>25246.070000000003</v>
      </c>
      <c r="L256" s="78"/>
      <c r="M256" s="78"/>
      <c r="N256" s="78"/>
      <c r="O256" s="60"/>
      <c r="R256" s="59"/>
    </row>
    <row r="257" spans="1:18" s="56" customFormat="1" ht="12" x14ac:dyDescent="0.2">
      <c r="A257" s="72"/>
      <c r="B257" s="70" t="s">
        <v>492</v>
      </c>
      <c r="C257" s="71" t="s">
        <v>493</v>
      </c>
      <c r="D257" s="72"/>
      <c r="E257" s="72"/>
      <c r="F257" s="72"/>
      <c r="G257" s="72"/>
      <c r="H257" s="75"/>
      <c r="I257" s="72"/>
      <c r="J257" s="72"/>
      <c r="K257" s="72"/>
      <c r="L257" s="72"/>
      <c r="M257" s="72"/>
      <c r="N257" s="72"/>
      <c r="O257" s="52"/>
      <c r="R257" s="52"/>
    </row>
    <row r="258" spans="1:18" s="56" customFormat="1" ht="12" x14ac:dyDescent="0.2">
      <c r="A258" s="94">
        <v>86902</v>
      </c>
      <c r="B258" s="73" t="s">
        <v>494</v>
      </c>
      <c r="C258" s="74" t="s">
        <v>495</v>
      </c>
      <c r="D258" s="73" t="s">
        <v>102</v>
      </c>
      <c r="E258" s="75">
        <v>7</v>
      </c>
      <c r="F258" s="75"/>
      <c r="G258" s="75"/>
      <c r="H258" s="75">
        <f t="shared" ref="H258:H289" si="51">ROUND(R258*$R$12,2)</f>
        <v>179.19</v>
      </c>
      <c r="I258" s="75">
        <f t="shared" ref="I258:I289" si="52">ROUND(H258*(1+$S$1),2)</f>
        <v>228.63</v>
      </c>
      <c r="J258" s="76">
        <f t="shared" ref="J258:J311" si="53">ROUND(E258*H258,2)</f>
        <v>1254.33</v>
      </c>
      <c r="K258" s="76">
        <f t="shared" ref="K258:K311" si="54">ROUND(E258*I258,2)</f>
        <v>1600.41</v>
      </c>
      <c r="L258" s="76"/>
      <c r="M258" s="76"/>
      <c r="N258" s="76"/>
      <c r="O258" s="51"/>
      <c r="R258" s="53">
        <v>179.19</v>
      </c>
    </row>
    <row r="259" spans="1:18" s="56" customFormat="1" ht="12" x14ac:dyDescent="0.2">
      <c r="A259" s="94">
        <v>86938</v>
      </c>
      <c r="B259" s="73" t="s">
        <v>496</v>
      </c>
      <c r="C259" s="74" t="s">
        <v>497</v>
      </c>
      <c r="D259" s="73" t="s">
        <v>102</v>
      </c>
      <c r="E259" s="75">
        <v>2</v>
      </c>
      <c r="F259" s="75"/>
      <c r="G259" s="75"/>
      <c r="H259" s="75">
        <f t="shared" si="51"/>
        <v>212.03</v>
      </c>
      <c r="I259" s="75">
        <f t="shared" si="52"/>
        <v>270.52999999999997</v>
      </c>
      <c r="J259" s="76">
        <f t="shared" si="53"/>
        <v>424.06</v>
      </c>
      <c r="K259" s="76">
        <f t="shared" si="54"/>
        <v>541.05999999999995</v>
      </c>
      <c r="L259" s="76"/>
      <c r="M259" s="76"/>
      <c r="N259" s="76"/>
      <c r="O259" s="51"/>
      <c r="R259" s="53">
        <v>212.03</v>
      </c>
    </row>
    <row r="260" spans="1:18" s="56" customFormat="1" ht="12" x14ac:dyDescent="0.2">
      <c r="A260" s="94">
        <v>86901</v>
      </c>
      <c r="B260" s="73" t="s">
        <v>498</v>
      </c>
      <c r="C260" s="74" t="s">
        <v>499</v>
      </c>
      <c r="D260" s="73" t="s">
        <v>102</v>
      </c>
      <c r="E260" s="75">
        <v>2</v>
      </c>
      <c r="F260" s="75"/>
      <c r="G260" s="75"/>
      <c r="H260" s="75">
        <f t="shared" si="51"/>
        <v>101.58</v>
      </c>
      <c r="I260" s="75">
        <f t="shared" si="52"/>
        <v>129.61000000000001</v>
      </c>
      <c r="J260" s="76">
        <f t="shared" si="53"/>
        <v>203.16</v>
      </c>
      <c r="K260" s="76">
        <f t="shared" si="54"/>
        <v>259.22000000000003</v>
      </c>
      <c r="L260" s="76"/>
      <c r="M260" s="76"/>
      <c r="N260" s="76"/>
      <c r="O260" s="51"/>
      <c r="R260" s="53">
        <v>101.58</v>
      </c>
    </row>
    <row r="261" spans="1:18" s="56" customFormat="1" ht="12" x14ac:dyDescent="0.2">
      <c r="A261" s="73" t="s">
        <v>78</v>
      </c>
      <c r="B261" s="73" t="s">
        <v>500</v>
      </c>
      <c r="C261" s="74" t="s">
        <v>501</v>
      </c>
      <c r="D261" s="73" t="s">
        <v>102</v>
      </c>
      <c r="E261" s="75">
        <v>2</v>
      </c>
      <c r="F261" s="75"/>
      <c r="G261" s="75"/>
      <c r="H261" s="75">
        <f t="shared" si="51"/>
        <v>412.2</v>
      </c>
      <c r="I261" s="75">
        <f t="shared" si="52"/>
        <v>525.92999999999995</v>
      </c>
      <c r="J261" s="76">
        <f t="shared" si="53"/>
        <v>824.4</v>
      </c>
      <c r="K261" s="76">
        <f t="shared" si="54"/>
        <v>1051.8599999999999</v>
      </c>
      <c r="L261" s="76"/>
      <c r="M261" s="76"/>
      <c r="N261" s="76"/>
      <c r="O261" s="51"/>
      <c r="R261" s="53">
        <v>412.2</v>
      </c>
    </row>
    <row r="262" spans="1:18" s="56" customFormat="1" ht="12" x14ac:dyDescent="0.2">
      <c r="A262" s="94">
        <v>72739</v>
      </c>
      <c r="B262" s="73" t="s">
        <v>502</v>
      </c>
      <c r="C262" s="74" t="s">
        <v>503</v>
      </c>
      <c r="D262" s="73" t="s">
        <v>102</v>
      </c>
      <c r="E262" s="75">
        <v>12</v>
      </c>
      <c r="F262" s="75"/>
      <c r="G262" s="75"/>
      <c r="H262" s="75">
        <f t="shared" si="51"/>
        <v>348.66</v>
      </c>
      <c r="I262" s="75">
        <f t="shared" si="52"/>
        <v>444.86</v>
      </c>
      <c r="J262" s="76">
        <f t="shared" si="53"/>
        <v>4183.92</v>
      </c>
      <c r="K262" s="76">
        <f t="shared" si="54"/>
        <v>5338.32</v>
      </c>
      <c r="L262" s="76"/>
      <c r="M262" s="76"/>
      <c r="N262" s="76"/>
      <c r="O262" s="51"/>
      <c r="R262" s="53">
        <v>348.66</v>
      </c>
    </row>
    <row r="263" spans="1:18" s="56" customFormat="1" ht="12" x14ac:dyDescent="0.2">
      <c r="A263" s="94">
        <v>95469</v>
      </c>
      <c r="B263" s="73" t="s">
        <v>504</v>
      </c>
      <c r="C263" s="74" t="s">
        <v>505</v>
      </c>
      <c r="D263" s="73" t="s">
        <v>102</v>
      </c>
      <c r="E263" s="75">
        <v>9</v>
      </c>
      <c r="F263" s="75"/>
      <c r="G263" s="75"/>
      <c r="H263" s="75">
        <f t="shared" si="51"/>
        <v>153.37</v>
      </c>
      <c r="I263" s="75">
        <f t="shared" si="52"/>
        <v>195.68</v>
      </c>
      <c r="J263" s="76">
        <f t="shared" si="53"/>
        <v>1380.33</v>
      </c>
      <c r="K263" s="76">
        <f t="shared" si="54"/>
        <v>1761.12</v>
      </c>
      <c r="L263" s="76"/>
      <c r="M263" s="76"/>
      <c r="N263" s="76"/>
      <c r="O263" s="51"/>
      <c r="R263" s="53">
        <v>153.37</v>
      </c>
    </row>
    <row r="264" spans="1:18" s="56" customFormat="1" ht="12" x14ac:dyDescent="0.2">
      <c r="A264" s="73" t="s">
        <v>78</v>
      </c>
      <c r="B264" s="73" t="s">
        <v>506</v>
      </c>
      <c r="C264" s="74" t="s">
        <v>507</v>
      </c>
      <c r="D264" s="73" t="s">
        <v>102</v>
      </c>
      <c r="E264" s="75">
        <v>2</v>
      </c>
      <c r="F264" s="75"/>
      <c r="G264" s="75"/>
      <c r="H264" s="75">
        <f t="shared" si="51"/>
        <v>62.01</v>
      </c>
      <c r="I264" s="75">
        <f t="shared" si="52"/>
        <v>79.12</v>
      </c>
      <c r="J264" s="76">
        <f t="shared" si="53"/>
        <v>124.02</v>
      </c>
      <c r="K264" s="76">
        <f t="shared" si="54"/>
        <v>158.24</v>
      </c>
      <c r="L264" s="76"/>
      <c r="M264" s="76"/>
      <c r="N264" s="76"/>
      <c r="O264" s="51"/>
      <c r="R264" s="53">
        <v>62.01</v>
      </c>
    </row>
    <row r="265" spans="1:18" s="56" customFormat="1" ht="12" x14ac:dyDescent="0.2">
      <c r="A265" s="73" t="s">
        <v>78</v>
      </c>
      <c r="B265" s="73" t="s">
        <v>508</v>
      </c>
      <c r="C265" s="74" t="s">
        <v>509</v>
      </c>
      <c r="D265" s="73" t="s">
        <v>102</v>
      </c>
      <c r="E265" s="75">
        <v>12</v>
      </c>
      <c r="F265" s="75"/>
      <c r="G265" s="75"/>
      <c r="H265" s="75">
        <f t="shared" si="51"/>
        <v>47.22</v>
      </c>
      <c r="I265" s="75">
        <f t="shared" si="52"/>
        <v>60.25</v>
      </c>
      <c r="J265" s="76">
        <f t="shared" si="53"/>
        <v>566.64</v>
      </c>
      <c r="K265" s="76">
        <f t="shared" si="54"/>
        <v>723</v>
      </c>
      <c r="L265" s="76"/>
      <c r="M265" s="76"/>
      <c r="N265" s="76"/>
      <c r="O265" s="51"/>
      <c r="R265" s="53">
        <v>47.22</v>
      </c>
    </row>
    <row r="266" spans="1:18" s="56" customFormat="1" ht="12" x14ac:dyDescent="0.2">
      <c r="A266" s="73" t="s">
        <v>510</v>
      </c>
      <c r="B266" s="73" t="s">
        <v>511</v>
      </c>
      <c r="C266" s="74" t="s">
        <v>512</v>
      </c>
      <c r="D266" s="73" t="s">
        <v>102</v>
      </c>
      <c r="E266" s="75">
        <v>9</v>
      </c>
      <c r="F266" s="75"/>
      <c r="G266" s="75"/>
      <c r="H266" s="75">
        <f t="shared" si="51"/>
        <v>30.39</v>
      </c>
      <c r="I266" s="75">
        <f t="shared" si="52"/>
        <v>38.770000000000003</v>
      </c>
      <c r="J266" s="76">
        <f t="shared" si="53"/>
        <v>273.51</v>
      </c>
      <c r="K266" s="76">
        <f t="shared" si="54"/>
        <v>348.93</v>
      </c>
      <c r="L266" s="76"/>
      <c r="M266" s="76"/>
      <c r="N266" s="76"/>
      <c r="O266" s="51"/>
      <c r="R266" s="53">
        <v>30.39</v>
      </c>
    </row>
    <row r="267" spans="1:18" s="56" customFormat="1" ht="24" x14ac:dyDescent="0.2">
      <c r="A267" s="73" t="s">
        <v>308</v>
      </c>
      <c r="B267" s="73" t="s">
        <v>513</v>
      </c>
      <c r="C267" s="74" t="s">
        <v>514</v>
      </c>
      <c r="D267" s="73" t="s">
        <v>102</v>
      </c>
      <c r="E267" s="75">
        <v>2</v>
      </c>
      <c r="F267" s="75"/>
      <c r="G267" s="75"/>
      <c r="H267" s="75">
        <f t="shared" si="51"/>
        <v>224.79</v>
      </c>
      <c r="I267" s="75">
        <f t="shared" si="52"/>
        <v>286.81</v>
      </c>
      <c r="J267" s="76">
        <f t="shared" si="53"/>
        <v>449.58</v>
      </c>
      <c r="K267" s="76">
        <f t="shared" si="54"/>
        <v>573.62</v>
      </c>
      <c r="L267" s="76"/>
      <c r="M267" s="76"/>
      <c r="N267" s="76"/>
      <c r="O267" s="51"/>
      <c r="R267" s="53">
        <v>224.79</v>
      </c>
    </row>
    <row r="268" spans="1:18" s="56" customFormat="1" ht="24" x14ac:dyDescent="0.2">
      <c r="A268" s="73" t="s">
        <v>308</v>
      </c>
      <c r="B268" s="73" t="s">
        <v>515</v>
      </c>
      <c r="C268" s="74" t="s">
        <v>516</v>
      </c>
      <c r="D268" s="73" t="s">
        <v>102</v>
      </c>
      <c r="E268" s="75">
        <v>8</v>
      </c>
      <c r="F268" s="75"/>
      <c r="G268" s="75"/>
      <c r="H268" s="75">
        <f t="shared" si="51"/>
        <v>170.36</v>
      </c>
      <c r="I268" s="75">
        <f t="shared" si="52"/>
        <v>217.36</v>
      </c>
      <c r="J268" s="76">
        <f t="shared" si="53"/>
        <v>1362.88</v>
      </c>
      <c r="K268" s="76">
        <f t="shared" si="54"/>
        <v>1738.88</v>
      </c>
      <c r="L268" s="76"/>
      <c r="M268" s="76"/>
      <c r="N268" s="76"/>
      <c r="O268" s="51"/>
      <c r="R268" s="53">
        <v>170.36</v>
      </c>
    </row>
    <row r="269" spans="1:18" s="56" customFormat="1" ht="24" x14ac:dyDescent="0.2">
      <c r="A269" s="73" t="s">
        <v>308</v>
      </c>
      <c r="B269" s="73" t="s">
        <v>517</v>
      </c>
      <c r="C269" s="74" t="s">
        <v>518</v>
      </c>
      <c r="D269" s="73" t="s">
        <v>102</v>
      </c>
      <c r="E269" s="75">
        <v>4</v>
      </c>
      <c r="F269" s="75"/>
      <c r="G269" s="75"/>
      <c r="H269" s="75">
        <f t="shared" si="51"/>
        <v>108</v>
      </c>
      <c r="I269" s="75">
        <f t="shared" si="52"/>
        <v>137.80000000000001</v>
      </c>
      <c r="J269" s="76">
        <f t="shared" si="53"/>
        <v>432</v>
      </c>
      <c r="K269" s="76">
        <f t="shared" si="54"/>
        <v>551.20000000000005</v>
      </c>
      <c r="L269" s="76"/>
      <c r="M269" s="76"/>
      <c r="N269" s="76"/>
      <c r="O269" s="51"/>
      <c r="R269" s="53">
        <v>108</v>
      </c>
    </row>
    <row r="270" spans="1:18" s="56" customFormat="1" ht="24" x14ac:dyDescent="0.2">
      <c r="A270" s="73" t="s">
        <v>308</v>
      </c>
      <c r="B270" s="73" t="s">
        <v>519</v>
      </c>
      <c r="C270" s="74" t="s">
        <v>520</v>
      </c>
      <c r="D270" s="73" t="s">
        <v>102</v>
      </c>
      <c r="E270" s="75">
        <v>1</v>
      </c>
      <c r="F270" s="75"/>
      <c r="G270" s="75"/>
      <c r="H270" s="75">
        <f t="shared" si="51"/>
        <v>1249</v>
      </c>
      <c r="I270" s="75">
        <f t="shared" si="52"/>
        <v>1593.6</v>
      </c>
      <c r="J270" s="76">
        <f t="shared" si="53"/>
        <v>1249</v>
      </c>
      <c r="K270" s="76">
        <f t="shared" si="54"/>
        <v>1593.6</v>
      </c>
      <c r="L270" s="76"/>
      <c r="M270" s="76"/>
      <c r="N270" s="76"/>
      <c r="O270" s="51"/>
      <c r="R270" s="51">
        <v>1249</v>
      </c>
    </row>
    <row r="271" spans="1:18" s="56" customFormat="1" ht="12" x14ac:dyDescent="0.2">
      <c r="A271" s="94">
        <v>86909</v>
      </c>
      <c r="B271" s="73" t="s">
        <v>521</v>
      </c>
      <c r="C271" s="74" t="s">
        <v>522</v>
      </c>
      <c r="D271" s="73" t="s">
        <v>102</v>
      </c>
      <c r="E271" s="75">
        <v>7</v>
      </c>
      <c r="F271" s="75"/>
      <c r="G271" s="75"/>
      <c r="H271" s="75">
        <f t="shared" si="51"/>
        <v>74.2</v>
      </c>
      <c r="I271" s="75">
        <f t="shared" si="52"/>
        <v>94.67</v>
      </c>
      <c r="J271" s="76">
        <f t="shared" si="53"/>
        <v>519.4</v>
      </c>
      <c r="K271" s="76">
        <f t="shared" si="54"/>
        <v>662.69</v>
      </c>
      <c r="L271" s="76"/>
      <c r="M271" s="76"/>
      <c r="N271" s="76"/>
      <c r="O271" s="51"/>
      <c r="R271" s="53">
        <v>74.2</v>
      </c>
    </row>
    <row r="272" spans="1:18" s="56" customFormat="1" ht="12" x14ac:dyDescent="0.2">
      <c r="A272" s="94">
        <v>86911</v>
      </c>
      <c r="B272" s="73" t="s">
        <v>523</v>
      </c>
      <c r="C272" s="74" t="s">
        <v>524</v>
      </c>
      <c r="D272" s="73" t="s">
        <v>102</v>
      </c>
      <c r="E272" s="75">
        <v>14</v>
      </c>
      <c r="F272" s="75"/>
      <c r="G272" s="75"/>
      <c r="H272" s="75">
        <f t="shared" si="51"/>
        <v>31.64</v>
      </c>
      <c r="I272" s="75">
        <f t="shared" si="52"/>
        <v>40.369999999999997</v>
      </c>
      <c r="J272" s="76">
        <f t="shared" si="53"/>
        <v>442.96</v>
      </c>
      <c r="K272" s="76">
        <f t="shared" si="54"/>
        <v>565.17999999999995</v>
      </c>
      <c r="L272" s="76"/>
      <c r="M272" s="76"/>
      <c r="N272" s="76"/>
      <c r="O272" s="51"/>
      <c r="R272" s="53">
        <v>31.64</v>
      </c>
    </row>
    <row r="273" spans="1:18" s="56" customFormat="1" ht="12" x14ac:dyDescent="0.2">
      <c r="A273" s="94">
        <v>86915</v>
      </c>
      <c r="B273" s="73" t="s">
        <v>525</v>
      </c>
      <c r="C273" s="74" t="s">
        <v>526</v>
      </c>
      <c r="D273" s="73" t="s">
        <v>102</v>
      </c>
      <c r="E273" s="75">
        <v>5</v>
      </c>
      <c r="F273" s="75"/>
      <c r="G273" s="75"/>
      <c r="H273" s="75">
        <f t="shared" si="51"/>
        <v>62.36</v>
      </c>
      <c r="I273" s="75">
        <f t="shared" si="52"/>
        <v>79.569999999999993</v>
      </c>
      <c r="J273" s="76">
        <f t="shared" si="53"/>
        <v>311.8</v>
      </c>
      <c r="K273" s="76">
        <f t="shared" si="54"/>
        <v>397.85</v>
      </c>
      <c r="L273" s="76"/>
      <c r="M273" s="76"/>
      <c r="N273" s="76"/>
      <c r="O273" s="51"/>
      <c r="R273" s="53">
        <v>62.36</v>
      </c>
    </row>
    <row r="274" spans="1:18" s="56" customFormat="1" ht="12" x14ac:dyDescent="0.2">
      <c r="A274" s="73" t="s">
        <v>527</v>
      </c>
      <c r="B274" s="73" t="s">
        <v>528</v>
      </c>
      <c r="C274" s="74" t="s">
        <v>529</v>
      </c>
      <c r="D274" s="73" t="s">
        <v>102</v>
      </c>
      <c r="E274" s="75">
        <v>3</v>
      </c>
      <c r="F274" s="75"/>
      <c r="G274" s="75"/>
      <c r="H274" s="75">
        <f t="shared" si="51"/>
        <v>100.46</v>
      </c>
      <c r="I274" s="75">
        <f t="shared" si="52"/>
        <v>128.18</v>
      </c>
      <c r="J274" s="76">
        <f t="shared" si="53"/>
        <v>301.38</v>
      </c>
      <c r="K274" s="76">
        <f t="shared" si="54"/>
        <v>384.54</v>
      </c>
      <c r="L274" s="76"/>
      <c r="M274" s="76"/>
      <c r="N274" s="76"/>
      <c r="O274" s="51"/>
      <c r="R274" s="53">
        <v>100.46</v>
      </c>
    </row>
    <row r="275" spans="1:18" s="56" customFormat="1" ht="12" x14ac:dyDescent="0.2">
      <c r="A275" s="94">
        <v>86910</v>
      </c>
      <c r="B275" s="73" t="s">
        <v>530</v>
      </c>
      <c r="C275" s="74" t="s">
        <v>531</v>
      </c>
      <c r="D275" s="73" t="s">
        <v>102</v>
      </c>
      <c r="E275" s="75">
        <v>4</v>
      </c>
      <c r="F275" s="75"/>
      <c r="G275" s="75"/>
      <c r="H275" s="75">
        <f t="shared" si="51"/>
        <v>71</v>
      </c>
      <c r="I275" s="75">
        <f t="shared" si="52"/>
        <v>90.59</v>
      </c>
      <c r="J275" s="76">
        <f t="shared" si="53"/>
        <v>284</v>
      </c>
      <c r="K275" s="76">
        <f t="shared" si="54"/>
        <v>362.36</v>
      </c>
      <c r="L275" s="76"/>
      <c r="M275" s="76"/>
      <c r="N275" s="76"/>
      <c r="O275" s="51"/>
      <c r="R275" s="53">
        <v>71</v>
      </c>
    </row>
    <row r="276" spans="1:18" s="56" customFormat="1" ht="12" x14ac:dyDescent="0.2">
      <c r="A276" s="94">
        <v>86906</v>
      </c>
      <c r="B276" s="73" t="s">
        <v>532</v>
      </c>
      <c r="C276" s="74" t="s">
        <v>533</v>
      </c>
      <c r="D276" s="73" t="s">
        <v>102</v>
      </c>
      <c r="E276" s="75">
        <v>7</v>
      </c>
      <c r="F276" s="75"/>
      <c r="G276" s="75"/>
      <c r="H276" s="75">
        <f t="shared" si="51"/>
        <v>37.18</v>
      </c>
      <c r="I276" s="75">
        <f t="shared" si="52"/>
        <v>47.44</v>
      </c>
      <c r="J276" s="76">
        <f t="shared" si="53"/>
        <v>260.26</v>
      </c>
      <c r="K276" s="76">
        <f t="shared" si="54"/>
        <v>332.08</v>
      </c>
      <c r="L276" s="76"/>
      <c r="M276" s="76"/>
      <c r="N276" s="76"/>
      <c r="O276" s="51"/>
      <c r="R276" s="53">
        <v>37.18</v>
      </c>
    </row>
    <row r="277" spans="1:18" s="56" customFormat="1" ht="12" x14ac:dyDescent="0.2">
      <c r="A277" s="94">
        <v>86913</v>
      </c>
      <c r="B277" s="73" t="s">
        <v>534</v>
      </c>
      <c r="C277" s="74" t="s">
        <v>535</v>
      </c>
      <c r="D277" s="73" t="s">
        <v>102</v>
      </c>
      <c r="E277" s="75">
        <v>6</v>
      </c>
      <c r="F277" s="75"/>
      <c r="G277" s="75"/>
      <c r="H277" s="75">
        <f t="shared" si="51"/>
        <v>14.42</v>
      </c>
      <c r="I277" s="75">
        <f t="shared" si="52"/>
        <v>18.399999999999999</v>
      </c>
      <c r="J277" s="76">
        <f t="shared" si="53"/>
        <v>86.52</v>
      </c>
      <c r="K277" s="76">
        <f t="shared" si="54"/>
        <v>110.4</v>
      </c>
      <c r="L277" s="76"/>
      <c r="M277" s="76"/>
      <c r="N277" s="76"/>
      <c r="O277" s="51"/>
      <c r="R277" s="53">
        <v>14.42</v>
      </c>
    </row>
    <row r="278" spans="1:18" s="56" customFormat="1" ht="12" x14ac:dyDescent="0.2">
      <c r="A278" s="73" t="s">
        <v>536</v>
      </c>
      <c r="B278" s="73" t="s">
        <v>537</v>
      </c>
      <c r="C278" s="74" t="s">
        <v>538</v>
      </c>
      <c r="D278" s="73" t="s">
        <v>102</v>
      </c>
      <c r="E278" s="75">
        <v>11</v>
      </c>
      <c r="F278" s="75"/>
      <c r="G278" s="75"/>
      <c r="H278" s="75">
        <f t="shared" si="51"/>
        <v>22.57</v>
      </c>
      <c r="I278" s="75">
        <f t="shared" si="52"/>
        <v>28.8</v>
      </c>
      <c r="J278" s="76">
        <f t="shared" si="53"/>
        <v>248.27</v>
      </c>
      <c r="K278" s="76">
        <f t="shared" si="54"/>
        <v>316.8</v>
      </c>
      <c r="L278" s="76"/>
      <c r="M278" s="76"/>
      <c r="N278" s="76"/>
      <c r="O278" s="51"/>
      <c r="R278" s="53">
        <v>22.57</v>
      </c>
    </row>
    <row r="279" spans="1:18" s="56" customFormat="1" ht="12" x14ac:dyDescent="0.2">
      <c r="A279" s="94">
        <v>94796</v>
      </c>
      <c r="B279" s="73" t="s">
        <v>539</v>
      </c>
      <c r="C279" s="74" t="s">
        <v>540</v>
      </c>
      <c r="D279" s="73" t="s">
        <v>102</v>
      </c>
      <c r="E279" s="75">
        <v>1</v>
      </c>
      <c r="F279" s="75"/>
      <c r="G279" s="75"/>
      <c r="H279" s="75">
        <f t="shared" si="51"/>
        <v>26.75</v>
      </c>
      <c r="I279" s="75">
        <f t="shared" si="52"/>
        <v>34.130000000000003</v>
      </c>
      <c r="J279" s="76">
        <f t="shared" si="53"/>
        <v>26.75</v>
      </c>
      <c r="K279" s="76">
        <f t="shared" si="54"/>
        <v>34.130000000000003</v>
      </c>
      <c r="L279" s="76"/>
      <c r="M279" s="76"/>
      <c r="N279" s="76"/>
      <c r="O279" s="51"/>
      <c r="R279" s="53">
        <v>26.75</v>
      </c>
    </row>
    <row r="280" spans="1:18" s="56" customFormat="1" ht="12" x14ac:dyDescent="0.2">
      <c r="A280" s="94">
        <v>89985</v>
      </c>
      <c r="B280" s="73" t="s">
        <v>541</v>
      </c>
      <c r="C280" s="74" t="s">
        <v>542</v>
      </c>
      <c r="D280" s="73" t="s">
        <v>102</v>
      </c>
      <c r="E280" s="75">
        <v>19</v>
      </c>
      <c r="F280" s="75"/>
      <c r="G280" s="75"/>
      <c r="H280" s="75">
        <f t="shared" si="51"/>
        <v>61.1</v>
      </c>
      <c r="I280" s="75">
        <f t="shared" si="52"/>
        <v>77.959999999999994</v>
      </c>
      <c r="J280" s="76">
        <f t="shared" si="53"/>
        <v>1160.9000000000001</v>
      </c>
      <c r="K280" s="76">
        <f t="shared" si="54"/>
        <v>1481.24</v>
      </c>
      <c r="L280" s="76"/>
      <c r="M280" s="76"/>
      <c r="N280" s="76"/>
      <c r="O280" s="51"/>
      <c r="R280" s="53">
        <v>61.1</v>
      </c>
    </row>
    <row r="281" spans="1:18" s="56" customFormat="1" ht="12" x14ac:dyDescent="0.2">
      <c r="A281" s="94">
        <v>89351</v>
      </c>
      <c r="B281" s="73" t="s">
        <v>543</v>
      </c>
      <c r="C281" s="74" t="s">
        <v>544</v>
      </c>
      <c r="D281" s="73" t="s">
        <v>102</v>
      </c>
      <c r="E281" s="75">
        <v>5</v>
      </c>
      <c r="F281" s="75"/>
      <c r="G281" s="75"/>
      <c r="H281" s="75">
        <f t="shared" si="51"/>
        <v>24.75</v>
      </c>
      <c r="I281" s="75">
        <f t="shared" si="52"/>
        <v>31.58</v>
      </c>
      <c r="J281" s="76">
        <f t="shared" si="53"/>
        <v>123.75</v>
      </c>
      <c r="K281" s="76">
        <f t="shared" si="54"/>
        <v>157.9</v>
      </c>
      <c r="L281" s="76"/>
      <c r="M281" s="76"/>
      <c r="N281" s="76"/>
      <c r="O281" s="51"/>
      <c r="R281" s="53">
        <v>24.75</v>
      </c>
    </row>
    <row r="282" spans="1:18" s="56" customFormat="1" ht="12" x14ac:dyDescent="0.2">
      <c r="A282" s="73" t="s">
        <v>545</v>
      </c>
      <c r="B282" s="73" t="s">
        <v>546</v>
      </c>
      <c r="C282" s="74" t="s">
        <v>547</v>
      </c>
      <c r="D282" s="73" t="s">
        <v>102</v>
      </c>
      <c r="E282" s="75">
        <v>8</v>
      </c>
      <c r="F282" s="75"/>
      <c r="G282" s="75"/>
      <c r="H282" s="75">
        <f t="shared" si="51"/>
        <v>40.06</v>
      </c>
      <c r="I282" s="75">
        <f t="shared" si="52"/>
        <v>51.11</v>
      </c>
      <c r="J282" s="76">
        <f t="shared" si="53"/>
        <v>320.48</v>
      </c>
      <c r="K282" s="76">
        <f t="shared" si="54"/>
        <v>408.88</v>
      </c>
      <c r="L282" s="76"/>
      <c r="M282" s="76"/>
      <c r="N282" s="76"/>
      <c r="O282" s="51"/>
      <c r="R282" s="53">
        <v>40.06</v>
      </c>
    </row>
    <row r="283" spans="1:18" s="56" customFormat="1" ht="12" x14ac:dyDescent="0.2">
      <c r="A283" s="73" t="s">
        <v>548</v>
      </c>
      <c r="B283" s="73" t="s">
        <v>549</v>
      </c>
      <c r="C283" s="74" t="s">
        <v>550</v>
      </c>
      <c r="D283" s="73" t="s">
        <v>102</v>
      </c>
      <c r="E283" s="75">
        <v>6</v>
      </c>
      <c r="F283" s="75"/>
      <c r="G283" s="75"/>
      <c r="H283" s="75">
        <f t="shared" si="51"/>
        <v>71.88</v>
      </c>
      <c r="I283" s="75">
        <f t="shared" si="52"/>
        <v>91.71</v>
      </c>
      <c r="J283" s="76">
        <f t="shared" si="53"/>
        <v>431.28</v>
      </c>
      <c r="K283" s="76">
        <f t="shared" si="54"/>
        <v>550.26</v>
      </c>
      <c r="L283" s="76"/>
      <c r="M283" s="76"/>
      <c r="N283" s="76"/>
      <c r="O283" s="51"/>
      <c r="R283" s="53">
        <v>71.88</v>
      </c>
    </row>
    <row r="284" spans="1:18" s="56" customFormat="1" ht="12" x14ac:dyDescent="0.2">
      <c r="A284" s="73" t="s">
        <v>551</v>
      </c>
      <c r="B284" s="73" t="s">
        <v>552</v>
      </c>
      <c r="C284" s="74" t="s">
        <v>553</v>
      </c>
      <c r="D284" s="73" t="s">
        <v>102</v>
      </c>
      <c r="E284" s="75">
        <v>5</v>
      </c>
      <c r="F284" s="75"/>
      <c r="G284" s="75"/>
      <c r="H284" s="75">
        <f t="shared" si="51"/>
        <v>267.62</v>
      </c>
      <c r="I284" s="75">
        <f t="shared" si="52"/>
        <v>341.46</v>
      </c>
      <c r="J284" s="76">
        <f t="shared" si="53"/>
        <v>1338.1</v>
      </c>
      <c r="K284" s="76">
        <f t="shared" si="54"/>
        <v>1707.3</v>
      </c>
      <c r="L284" s="76"/>
      <c r="M284" s="76"/>
      <c r="N284" s="76"/>
      <c r="O284" s="51"/>
      <c r="R284" s="53">
        <v>267.62</v>
      </c>
    </row>
    <row r="285" spans="1:18" s="56" customFormat="1" ht="12" x14ac:dyDescent="0.2">
      <c r="A285" s="94">
        <v>89987</v>
      </c>
      <c r="B285" s="73" t="s">
        <v>554</v>
      </c>
      <c r="C285" s="74" t="s">
        <v>555</v>
      </c>
      <c r="D285" s="73" t="s">
        <v>102</v>
      </c>
      <c r="E285" s="75">
        <v>39</v>
      </c>
      <c r="F285" s="75"/>
      <c r="G285" s="75"/>
      <c r="H285" s="75">
        <f t="shared" si="51"/>
        <v>64.260000000000005</v>
      </c>
      <c r="I285" s="75">
        <f t="shared" si="52"/>
        <v>81.99</v>
      </c>
      <c r="J285" s="76">
        <f t="shared" si="53"/>
        <v>2506.14</v>
      </c>
      <c r="K285" s="76">
        <f t="shared" si="54"/>
        <v>3197.61</v>
      </c>
      <c r="L285" s="76"/>
      <c r="M285" s="76"/>
      <c r="N285" s="76"/>
      <c r="O285" s="51"/>
      <c r="R285" s="53">
        <v>64.260000000000005</v>
      </c>
    </row>
    <row r="286" spans="1:18" s="56" customFormat="1" ht="12" x14ac:dyDescent="0.2">
      <c r="A286" s="94">
        <v>94792</v>
      </c>
      <c r="B286" s="73" t="s">
        <v>556</v>
      </c>
      <c r="C286" s="74" t="s">
        <v>557</v>
      </c>
      <c r="D286" s="73" t="s">
        <v>102</v>
      </c>
      <c r="E286" s="75">
        <v>10</v>
      </c>
      <c r="F286" s="75"/>
      <c r="G286" s="75"/>
      <c r="H286" s="75">
        <f t="shared" si="51"/>
        <v>92.77</v>
      </c>
      <c r="I286" s="75">
        <f t="shared" si="52"/>
        <v>118.37</v>
      </c>
      <c r="J286" s="76">
        <f t="shared" si="53"/>
        <v>927.7</v>
      </c>
      <c r="K286" s="76">
        <f t="shared" si="54"/>
        <v>1183.7</v>
      </c>
      <c r="L286" s="76"/>
      <c r="M286" s="76"/>
      <c r="N286" s="76"/>
      <c r="O286" s="51"/>
      <c r="R286" s="53">
        <v>92.77</v>
      </c>
    </row>
    <row r="287" spans="1:18" s="56" customFormat="1" ht="12" x14ac:dyDescent="0.2">
      <c r="A287" s="94">
        <v>94794</v>
      </c>
      <c r="B287" s="73" t="s">
        <v>558</v>
      </c>
      <c r="C287" s="74" t="s">
        <v>559</v>
      </c>
      <c r="D287" s="73" t="s">
        <v>102</v>
      </c>
      <c r="E287" s="75">
        <v>12</v>
      </c>
      <c r="F287" s="75"/>
      <c r="G287" s="75"/>
      <c r="H287" s="75">
        <f t="shared" si="51"/>
        <v>124.23</v>
      </c>
      <c r="I287" s="75">
        <f t="shared" si="52"/>
        <v>158.51</v>
      </c>
      <c r="J287" s="76">
        <f t="shared" si="53"/>
        <v>1490.76</v>
      </c>
      <c r="K287" s="76">
        <f t="shared" si="54"/>
        <v>1902.12</v>
      </c>
      <c r="L287" s="76"/>
      <c r="M287" s="76"/>
      <c r="N287" s="76"/>
      <c r="O287" s="51"/>
      <c r="R287" s="53">
        <v>124.23</v>
      </c>
    </row>
    <row r="288" spans="1:18" s="56" customFormat="1" ht="12" x14ac:dyDescent="0.2">
      <c r="A288" s="73" t="s">
        <v>78</v>
      </c>
      <c r="B288" s="73" t="s">
        <v>560</v>
      </c>
      <c r="C288" s="74" t="s">
        <v>561</v>
      </c>
      <c r="D288" s="73" t="s">
        <v>102</v>
      </c>
      <c r="E288" s="75">
        <v>11</v>
      </c>
      <c r="F288" s="75"/>
      <c r="G288" s="75"/>
      <c r="H288" s="75">
        <f t="shared" si="51"/>
        <v>20.3</v>
      </c>
      <c r="I288" s="75">
        <f t="shared" si="52"/>
        <v>25.9</v>
      </c>
      <c r="J288" s="76">
        <f t="shared" si="53"/>
        <v>223.3</v>
      </c>
      <c r="K288" s="76">
        <f t="shared" si="54"/>
        <v>284.89999999999998</v>
      </c>
      <c r="L288" s="76"/>
      <c r="M288" s="76"/>
      <c r="N288" s="76"/>
      <c r="O288" s="51"/>
      <c r="R288" s="53">
        <v>20.3</v>
      </c>
    </row>
    <row r="289" spans="1:18" s="56" customFormat="1" ht="12" x14ac:dyDescent="0.2">
      <c r="A289" s="73" t="s">
        <v>78</v>
      </c>
      <c r="B289" s="73" t="s">
        <v>562</v>
      </c>
      <c r="C289" s="74" t="s">
        <v>563</v>
      </c>
      <c r="D289" s="73" t="s">
        <v>102</v>
      </c>
      <c r="E289" s="75">
        <v>7</v>
      </c>
      <c r="F289" s="75"/>
      <c r="G289" s="75"/>
      <c r="H289" s="75">
        <f t="shared" si="51"/>
        <v>25.99</v>
      </c>
      <c r="I289" s="75">
        <f t="shared" si="52"/>
        <v>33.159999999999997</v>
      </c>
      <c r="J289" s="76">
        <f t="shared" si="53"/>
        <v>181.93</v>
      </c>
      <c r="K289" s="76">
        <f t="shared" si="54"/>
        <v>232.12</v>
      </c>
      <c r="L289" s="76"/>
      <c r="M289" s="76"/>
      <c r="N289" s="76"/>
      <c r="O289" s="51"/>
      <c r="R289" s="53">
        <v>25.99</v>
      </c>
    </row>
    <row r="290" spans="1:18" s="56" customFormat="1" ht="12" x14ac:dyDescent="0.2">
      <c r="A290" s="94">
        <v>9535</v>
      </c>
      <c r="B290" s="73" t="s">
        <v>564</v>
      </c>
      <c r="C290" s="74" t="s">
        <v>565</v>
      </c>
      <c r="D290" s="73" t="s">
        <v>102</v>
      </c>
      <c r="E290" s="75">
        <v>12</v>
      </c>
      <c r="F290" s="75"/>
      <c r="G290" s="75"/>
      <c r="H290" s="75">
        <f t="shared" ref="H290:H311" si="55">ROUND(R290*$R$12,2)</f>
        <v>56.12</v>
      </c>
      <c r="I290" s="75">
        <f t="shared" ref="I290:I311" si="56">ROUND(H290*(1+$S$1),2)</f>
        <v>71.599999999999994</v>
      </c>
      <c r="J290" s="76">
        <f t="shared" si="53"/>
        <v>673.44</v>
      </c>
      <c r="K290" s="76">
        <f t="shared" si="54"/>
        <v>859.2</v>
      </c>
      <c r="L290" s="76"/>
      <c r="M290" s="76"/>
      <c r="N290" s="76"/>
      <c r="O290" s="51"/>
      <c r="R290" s="53">
        <v>56.12</v>
      </c>
    </row>
    <row r="291" spans="1:18" s="56" customFormat="1" ht="12" x14ac:dyDescent="0.2">
      <c r="A291" s="73" t="s">
        <v>308</v>
      </c>
      <c r="B291" s="73" t="s">
        <v>566</v>
      </c>
      <c r="C291" s="74" t="s">
        <v>567</v>
      </c>
      <c r="D291" s="73" t="s">
        <v>102</v>
      </c>
      <c r="E291" s="75">
        <v>4</v>
      </c>
      <c r="F291" s="75"/>
      <c r="G291" s="75"/>
      <c r="H291" s="75">
        <f t="shared" si="55"/>
        <v>40.85</v>
      </c>
      <c r="I291" s="75">
        <f t="shared" si="56"/>
        <v>52.12</v>
      </c>
      <c r="J291" s="76">
        <f t="shared" si="53"/>
        <v>163.4</v>
      </c>
      <c r="K291" s="76">
        <f t="shared" si="54"/>
        <v>208.48</v>
      </c>
      <c r="L291" s="76"/>
      <c r="M291" s="76"/>
      <c r="N291" s="76"/>
      <c r="O291" s="51"/>
      <c r="R291" s="53">
        <v>40.85</v>
      </c>
    </row>
    <row r="292" spans="1:18" s="56" customFormat="1" ht="12" x14ac:dyDescent="0.2">
      <c r="A292" s="94">
        <v>9535</v>
      </c>
      <c r="B292" s="73" t="s">
        <v>568</v>
      </c>
      <c r="C292" s="74" t="s">
        <v>569</v>
      </c>
      <c r="D292" s="73" t="s">
        <v>102</v>
      </c>
      <c r="E292" s="75">
        <v>4</v>
      </c>
      <c r="F292" s="75"/>
      <c r="G292" s="75"/>
      <c r="H292" s="75">
        <f t="shared" si="55"/>
        <v>56.21</v>
      </c>
      <c r="I292" s="75">
        <f t="shared" si="56"/>
        <v>71.72</v>
      </c>
      <c r="J292" s="76">
        <f t="shared" si="53"/>
        <v>224.84</v>
      </c>
      <c r="K292" s="76">
        <f t="shared" si="54"/>
        <v>286.88</v>
      </c>
      <c r="L292" s="76"/>
      <c r="M292" s="76"/>
      <c r="N292" s="76"/>
      <c r="O292" s="51"/>
      <c r="R292" s="53">
        <v>56.21</v>
      </c>
    </row>
    <row r="293" spans="1:18" s="56" customFormat="1" ht="12" x14ac:dyDescent="0.2">
      <c r="A293" s="73" t="s">
        <v>78</v>
      </c>
      <c r="B293" s="73" t="s">
        <v>570</v>
      </c>
      <c r="C293" s="74" t="s">
        <v>571</v>
      </c>
      <c r="D293" s="73" t="s">
        <v>102</v>
      </c>
      <c r="E293" s="75">
        <v>5</v>
      </c>
      <c r="F293" s="75"/>
      <c r="G293" s="75"/>
      <c r="H293" s="75">
        <f t="shared" si="55"/>
        <v>132.01</v>
      </c>
      <c r="I293" s="75">
        <f t="shared" si="56"/>
        <v>168.43</v>
      </c>
      <c r="J293" s="76">
        <f t="shared" si="53"/>
        <v>660.05</v>
      </c>
      <c r="K293" s="76">
        <f t="shared" si="54"/>
        <v>842.15</v>
      </c>
      <c r="L293" s="76"/>
      <c r="M293" s="76"/>
      <c r="N293" s="76"/>
      <c r="O293" s="51"/>
      <c r="R293" s="53">
        <v>132.01</v>
      </c>
    </row>
    <row r="294" spans="1:18" s="56" customFormat="1" ht="24" x14ac:dyDescent="0.2">
      <c r="A294" s="94">
        <v>40729</v>
      </c>
      <c r="B294" s="73" t="s">
        <v>572</v>
      </c>
      <c r="C294" s="74" t="s">
        <v>573</v>
      </c>
      <c r="D294" s="73" t="s">
        <v>102</v>
      </c>
      <c r="E294" s="75">
        <v>23</v>
      </c>
      <c r="F294" s="75"/>
      <c r="G294" s="75"/>
      <c r="H294" s="75">
        <f t="shared" si="55"/>
        <v>218.15</v>
      </c>
      <c r="I294" s="75">
        <f t="shared" si="56"/>
        <v>278.33999999999997</v>
      </c>
      <c r="J294" s="76">
        <f t="shared" si="53"/>
        <v>5017.45</v>
      </c>
      <c r="K294" s="76">
        <f t="shared" si="54"/>
        <v>6401.82</v>
      </c>
      <c r="L294" s="76"/>
      <c r="M294" s="76"/>
      <c r="N294" s="76"/>
      <c r="O294" s="51"/>
      <c r="R294" s="53">
        <v>218.15</v>
      </c>
    </row>
    <row r="295" spans="1:18" s="56" customFormat="1" ht="12" x14ac:dyDescent="0.2">
      <c r="A295" s="73" t="s">
        <v>308</v>
      </c>
      <c r="B295" s="73" t="s">
        <v>574</v>
      </c>
      <c r="C295" s="74" t="s">
        <v>575</v>
      </c>
      <c r="D295" s="73" t="s">
        <v>102</v>
      </c>
      <c r="E295" s="75">
        <v>1</v>
      </c>
      <c r="F295" s="75"/>
      <c r="G295" s="75"/>
      <c r="H295" s="75">
        <f t="shared" si="55"/>
        <v>5800</v>
      </c>
      <c r="I295" s="75">
        <f t="shared" si="56"/>
        <v>7400.22</v>
      </c>
      <c r="J295" s="76">
        <f t="shared" si="53"/>
        <v>5800</v>
      </c>
      <c r="K295" s="76">
        <f t="shared" si="54"/>
        <v>7400.22</v>
      </c>
      <c r="L295" s="76"/>
      <c r="M295" s="76"/>
      <c r="N295" s="76"/>
      <c r="O295" s="51"/>
      <c r="R295" s="51">
        <v>5800</v>
      </c>
    </row>
    <row r="296" spans="1:18" s="56" customFormat="1" ht="12" x14ac:dyDescent="0.2">
      <c r="A296" s="73" t="s">
        <v>308</v>
      </c>
      <c r="B296" s="73" t="s">
        <v>576</v>
      </c>
      <c r="C296" s="74" t="s">
        <v>577</v>
      </c>
      <c r="D296" s="73" t="s">
        <v>102</v>
      </c>
      <c r="E296" s="75">
        <v>23</v>
      </c>
      <c r="F296" s="75"/>
      <c r="G296" s="75"/>
      <c r="H296" s="75">
        <f t="shared" si="55"/>
        <v>7.69</v>
      </c>
      <c r="I296" s="75">
        <f t="shared" si="56"/>
        <v>9.81</v>
      </c>
      <c r="J296" s="76">
        <f t="shared" si="53"/>
        <v>176.87</v>
      </c>
      <c r="K296" s="76">
        <f t="shared" si="54"/>
        <v>225.63</v>
      </c>
      <c r="L296" s="76"/>
      <c r="M296" s="76"/>
      <c r="N296" s="76"/>
      <c r="O296" s="51"/>
      <c r="R296" s="53">
        <v>7.69</v>
      </c>
    </row>
    <row r="297" spans="1:18" s="56" customFormat="1" ht="12" x14ac:dyDescent="0.2">
      <c r="A297" s="73" t="s">
        <v>578</v>
      </c>
      <c r="B297" s="73" t="s">
        <v>579</v>
      </c>
      <c r="C297" s="74" t="s">
        <v>580</v>
      </c>
      <c r="D297" s="73" t="s">
        <v>102</v>
      </c>
      <c r="E297" s="75">
        <v>1</v>
      </c>
      <c r="F297" s="75"/>
      <c r="G297" s="75"/>
      <c r="H297" s="75">
        <f t="shared" si="55"/>
        <v>7.69</v>
      </c>
      <c r="I297" s="75">
        <f t="shared" si="56"/>
        <v>9.81</v>
      </c>
      <c r="J297" s="76">
        <f t="shared" si="53"/>
        <v>7.69</v>
      </c>
      <c r="K297" s="76">
        <f t="shared" si="54"/>
        <v>9.81</v>
      </c>
      <c r="L297" s="76"/>
      <c r="M297" s="76"/>
      <c r="N297" s="76"/>
      <c r="O297" s="51"/>
      <c r="R297" s="53">
        <v>7.69</v>
      </c>
    </row>
    <row r="298" spans="1:18" s="56" customFormat="1" ht="12" x14ac:dyDescent="0.2">
      <c r="A298" s="73" t="s">
        <v>581</v>
      </c>
      <c r="B298" s="73" t="s">
        <v>582</v>
      </c>
      <c r="C298" s="74" t="s">
        <v>583</v>
      </c>
      <c r="D298" s="73" t="s">
        <v>102</v>
      </c>
      <c r="E298" s="75">
        <v>1</v>
      </c>
      <c r="F298" s="75"/>
      <c r="G298" s="75"/>
      <c r="H298" s="75">
        <f t="shared" si="55"/>
        <v>44.58</v>
      </c>
      <c r="I298" s="75">
        <f t="shared" si="56"/>
        <v>56.88</v>
      </c>
      <c r="J298" s="76">
        <f t="shared" si="53"/>
        <v>44.58</v>
      </c>
      <c r="K298" s="76">
        <f t="shared" si="54"/>
        <v>56.88</v>
      </c>
      <c r="L298" s="76"/>
      <c r="M298" s="76"/>
      <c r="N298" s="76"/>
      <c r="O298" s="51"/>
      <c r="R298" s="53">
        <v>44.58</v>
      </c>
    </row>
    <row r="299" spans="1:18" s="56" customFormat="1" ht="12" x14ac:dyDescent="0.2">
      <c r="A299" s="73" t="s">
        <v>584</v>
      </c>
      <c r="B299" s="73" t="s">
        <v>585</v>
      </c>
      <c r="C299" s="74" t="s">
        <v>586</v>
      </c>
      <c r="D299" s="73" t="s">
        <v>102</v>
      </c>
      <c r="E299" s="75">
        <v>9</v>
      </c>
      <c r="F299" s="75"/>
      <c r="G299" s="75"/>
      <c r="H299" s="75">
        <f t="shared" si="55"/>
        <v>95.78</v>
      </c>
      <c r="I299" s="75">
        <f t="shared" si="56"/>
        <v>122.21</v>
      </c>
      <c r="J299" s="76">
        <f t="shared" si="53"/>
        <v>862.02</v>
      </c>
      <c r="K299" s="76">
        <f t="shared" si="54"/>
        <v>1099.8900000000001</v>
      </c>
      <c r="L299" s="76"/>
      <c r="M299" s="76"/>
      <c r="N299" s="76"/>
      <c r="O299" s="51"/>
      <c r="R299" s="53">
        <v>95.78</v>
      </c>
    </row>
    <row r="300" spans="1:18" s="56" customFormat="1" ht="12" x14ac:dyDescent="0.2">
      <c r="A300" s="73" t="s">
        <v>78</v>
      </c>
      <c r="B300" s="73" t="s">
        <v>587</v>
      </c>
      <c r="C300" s="74" t="s">
        <v>588</v>
      </c>
      <c r="D300" s="73" t="s">
        <v>102</v>
      </c>
      <c r="E300" s="75">
        <v>1</v>
      </c>
      <c r="F300" s="75"/>
      <c r="G300" s="75"/>
      <c r="H300" s="75">
        <f t="shared" si="55"/>
        <v>1067.05</v>
      </c>
      <c r="I300" s="75">
        <f t="shared" si="56"/>
        <v>1361.45</v>
      </c>
      <c r="J300" s="76">
        <f t="shared" si="53"/>
        <v>1067.05</v>
      </c>
      <c r="K300" s="76">
        <f t="shared" si="54"/>
        <v>1361.45</v>
      </c>
      <c r="L300" s="76"/>
      <c r="M300" s="76"/>
      <c r="N300" s="76"/>
      <c r="O300" s="51"/>
      <c r="R300" s="51">
        <v>1067.05</v>
      </c>
    </row>
    <row r="301" spans="1:18" s="56" customFormat="1" ht="12" x14ac:dyDescent="0.2">
      <c r="A301" s="73" t="s">
        <v>308</v>
      </c>
      <c r="B301" s="73" t="s">
        <v>589</v>
      </c>
      <c r="C301" s="74" t="s">
        <v>590</v>
      </c>
      <c r="D301" s="73" t="s">
        <v>102</v>
      </c>
      <c r="E301" s="75">
        <v>9</v>
      </c>
      <c r="F301" s="75"/>
      <c r="G301" s="75"/>
      <c r="H301" s="75">
        <f t="shared" si="55"/>
        <v>49.99</v>
      </c>
      <c r="I301" s="75">
        <f t="shared" si="56"/>
        <v>63.78</v>
      </c>
      <c r="J301" s="76">
        <f t="shared" si="53"/>
        <v>449.91</v>
      </c>
      <c r="K301" s="76">
        <f t="shared" si="54"/>
        <v>574.02</v>
      </c>
      <c r="L301" s="76"/>
      <c r="M301" s="76"/>
      <c r="N301" s="76"/>
      <c r="O301" s="51"/>
      <c r="R301" s="53">
        <v>49.99</v>
      </c>
    </row>
    <row r="302" spans="1:18" s="56" customFormat="1" ht="12" x14ac:dyDescent="0.2">
      <c r="A302" s="73" t="s">
        <v>308</v>
      </c>
      <c r="B302" s="73" t="s">
        <v>591</v>
      </c>
      <c r="C302" s="74" t="s">
        <v>592</v>
      </c>
      <c r="D302" s="73" t="s">
        <v>102</v>
      </c>
      <c r="E302" s="75">
        <v>2</v>
      </c>
      <c r="F302" s="75"/>
      <c r="G302" s="75"/>
      <c r="H302" s="75">
        <f t="shared" si="55"/>
        <v>205.99</v>
      </c>
      <c r="I302" s="75">
        <f t="shared" si="56"/>
        <v>262.82</v>
      </c>
      <c r="J302" s="76">
        <f t="shared" si="53"/>
        <v>411.98</v>
      </c>
      <c r="K302" s="76">
        <f t="shared" si="54"/>
        <v>525.64</v>
      </c>
      <c r="L302" s="76"/>
      <c r="M302" s="76"/>
      <c r="N302" s="76"/>
      <c r="O302" s="51"/>
      <c r="R302" s="53">
        <v>205.99</v>
      </c>
    </row>
    <row r="303" spans="1:18" s="56" customFormat="1" ht="12" x14ac:dyDescent="0.2">
      <c r="A303" s="73" t="s">
        <v>308</v>
      </c>
      <c r="B303" s="73" t="s">
        <v>593</v>
      </c>
      <c r="C303" s="74" t="s">
        <v>594</v>
      </c>
      <c r="D303" s="73" t="s">
        <v>102</v>
      </c>
      <c r="E303" s="75">
        <v>6</v>
      </c>
      <c r="F303" s="75"/>
      <c r="G303" s="75"/>
      <c r="H303" s="75">
        <f t="shared" si="55"/>
        <v>0.17</v>
      </c>
      <c r="I303" s="75">
        <f t="shared" si="56"/>
        <v>0.22</v>
      </c>
      <c r="J303" s="76">
        <f t="shared" si="53"/>
        <v>1.02</v>
      </c>
      <c r="K303" s="76">
        <f t="shared" si="54"/>
        <v>1.32</v>
      </c>
      <c r="L303" s="76"/>
      <c r="M303" s="76"/>
      <c r="N303" s="76"/>
      <c r="O303" s="51"/>
      <c r="R303" s="53">
        <v>0.17</v>
      </c>
    </row>
    <row r="304" spans="1:18" s="56" customFormat="1" ht="12" x14ac:dyDescent="0.2">
      <c r="A304" s="73" t="s">
        <v>308</v>
      </c>
      <c r="B304" s="73" t="s">
        <v>595</v>
      </c>
      <c r="C304" s="74" t="s">
        <v>596</v>
      </c>
      <c r="D304" s="73" t="s">
        <v>102</v>
      </c>
      <c r="E304" s="75">
        <v>13</v>
      </c>
      <c r="F304" s="75"/>
      <c r="G304" s="75"/>
      <c r="H304" s="75">
        <f t="shared" si="55"/>
        <v>0.25</v>
      </c>
      <c r="I304" s="75">
        <f t="shared" si="56"/>
        <v>0.32</v>
      </c>
      <c r="J304" s="76">
        <f t="shared" si="53"/>
        <v>3.25</v>
      </c>
      <c r="K304" s="76">
        <f t="shared" si="54"/>
        <v>4.16</v>
      </c>
      <c r="L304" s="76"/>
      <c r="M304" s="76"/>
      <c r="N304" s="76"/>
      <c r="O304" s="51"/>
      <c r="R304" s="53">
        <v>0.25</v>
      </c>
    </row>
    <row r="305" spans="1:18" s="56" customFormat="1" ht="12" x14ac:dyDescent="0.2">
      <c r="A305" s="73" t="s">
        <v>308</v>
      </c>
      <c r="B305" s="73" t="s">
        <v>597</v>
      </c>
      <c r="C305" s="74" t="s">
        <v>598</v>
      </c>
      <c r="D305" s="73" t="s">
        <v>102</v>
      </c>
      <c r="E305" s="75">
        <v>13</v>
      </c>
      <c r="F305" s="75"/>
      <c r="G305" s="75"/>
      <c r="H305" s="75">
        <f t="shared" si="55"/>
        <v>0.54</v>
      </c>
      <c r="I305" s="75">
        <f t="shared" si="56"/>
        <v>0.69</v>
      </c>
      <c r="J305" s="76">
        <f t="shared" si="53"/>
        <v>7.02</v>
      </c>
      <c r="K305" s="76">
        <f t="shared" si="54"/>
        <v>8.9700000000000006</v>
      </c>
      <c r="L305" s="76"/>
      <c r="M305" s="76"/>
      <c r="N305" s="76"/>
      <c r="O305" s="51"/>
      <c r="R305" s="53">
        <v>0.54</v>
      </c>
    </row>
    <row r="306" spans="1:18" s="56" customFormat="1" ht="12" x14ac:dyDescent="0.2">
      <c r="A306" s="73" t="s">
        <v>308</v>
      </c>
      <c r="B306" s="73" t="s">
        <v>599</v>
      </c>
      <c r="C306" s="74" t="s">
        <v>600</v>
      </c>
      <c r="D306" s="73" t="s">
        <v>102</v>
      </c>
      <c r="E306" s="75">
        <v>20</v>
      </c>
      <c r="F306" s="75"/>
      <c r="G306" s="75"/>
      <c r="H306" s="75">
        <f t="shared" si="55"/>
        <v>0.62</v>
      </c>
      <c r="I306" s="75">
        <f t="shared" si="56"/>
        <v>0.79</v>
      </c>
      <c r="J306" s="76">
        <f t="shared" si="53"/>
        <v>12.4</v>
      </c>
      <c r="K306" s="76">
        <f t="shared" si="54"/>
        <v>15.8</v>
      </c>
      <c r="L306" s="76"/>
      <c r="M306" s="76"/>
      <c r="N306" s="76"/>
      <c r="O306" s="51"/>
      <c r="R306" s="53">
        <v>0.62</v>
      </c>
    </row>
    <row r="307" spans="1:18" s="56" customFormat="1" ht="12" x14ac:dyDescent="0.2">
      <c r="A307" s="73" t="s">
        <v>308</v>
      </c>
      <c r="B307" s="73" t="s">
        <v>601</v>
      </c>
      <c r="C307" s="74" t="s">
        <v>602</v>
      </c>
      <c r="D307" s="73" t="s">
        <v>102</v>
      </c>
      <c r="E307" s="75">
        <v>8</v>
      </c>
      <c r="F307" s="75"/>
      <c r="G307" s="75"/>
      <c r="H307" s="75">
        <f t="shared" si="55"/>
        <v>1.95</v>
      </c>
      <c r="I307" s="75">
        <f t="shared" si="56"/>
        <v>2.4900000000000002</v>
      </c>
      <c r="J307" s="76">
        <f t="shared" si="53"/>
        <v>15.6</v>
      </c>
      <c r="K307" s="76">
        <f t="shared" si="54"/>
        <v>19.920000000000002</v>
      </c>
      <c r="L307" s="76"/>
      <c r="M307" s="76"/>
      <c r="N307" s="76"/>
      <c r="O307" s="51"/>
      <c r="R307" s="53">
        <v>1.95</v>
      </c>
    </row>
    <row r="308" spans="1:18" s="56" customFormat="1" ht="12" x14ac:dyDescent="0.2">
      <c r="A308" s="94">
        <v>95547</v>
      </c>
      <c r="B308" s="73" t="s">
        <v>603</v>
      </c>
      <c r="C308" s="74" t="s">
        <v>604</v>
      </c>
      <c r="D308" s="73" t="s">
        <v>102</v>
      </c>
      <c r="E308" s="75">
        <v>32</v>
      </c>
      <c r="F308" s="75"/>
      <c r="G308" s="75"/>
      <c r="H308" s="75">
        <f t="shared" si="55"/>
        <v>48.53</v>
      </c>
      <c r="I308" s="75">
        <f t="shared" si="56"/>
        <v>61.92</v>
      </c>
      <c r="J308" s="76">
        <f t="shared" si="53"/>
        <v>1552.96</v>
      </c>
      <c r="K308" s="76">
        <f t="shared" si="54"/>
        <v>1981.44</v>
      </c>
      <c r="L308" s="76"/>
      <c r="M308" s="76"/>
      <c r="N308" s="76"/>
      <c r="O308" s="51"/>
      <c r="R308" s="53">
        <v>48.53</v>
      </c>
    </row>
    <row r="309" spans="1:18" s="56" customFormat="1" ht="12" x14ac:dyDescent="0.2">
      <c r="A309" s="94">
        <v>95542</v>
      </c>
      <c r="B309" s="73" t="s">
        <v>605</v>
      </c>
      <c r="C309" s="74" t="s">
        <v>606</v>
      </c>
      <c r="D309" s="73" t="s">
        <v>102</v>
      </c>
      <c r="E309" s="75">
        <v>30</v>
      </c>
      <c r="F309" s="75"/>
      <c r="G309" s="75"/>
      <c r="H309" s="75">
        <f t="shared" si="55"/>
        <v>16.57</v>
      </c>
      <c r="I309" s="75">
        <f t="shared" si="56"/>
        <v>21.14</v>
      </c>
      <c r="J309" s="76">
        <f t="shared" si="53"/>
        <v>497.1</v>
      </c>
      <c r="K309" s="76">
        <f t="shared" si="54"/>
        <v>634.20000000000005</v>
      </c>
      <c r="L309" s="76"/>
      <c r="M309" s="76"/>
      <c r="N309" s="76"/>
      <c r="O309" s="51"/>
      <c r="R309" s="53">
        <v>16.57</v>
      </c>
    </row>
    <row r="310" spans="1:18" s="56" customFormat="1" ht="12" x14ac:dyDescent="0.2">
      <c r="A310" s="73" t="s">
        <v>607</v>
      </c>
      <c r="B310" s="73" t="s">
        <v>608</v>
      </c>
      <c r="C310" s="74" t="s">
        <v>609</v>
      </c>
      <c r="D310" s="73" t="s">
        <v>102</v>
      </c>
      <c r="E310" s="75">
        <v>23</v>
      </c>
      <c r="F310" s="75"/>
      <c r="G310" s="75"/>
      <c r="H310" s="75">
        <f t="shared" si="55"/>
        <v>37.58</v>
      </c>
      <c r="I310" s="75">
        <f t="shared" si="56"/>
        <v>47.95</v>
      </c>
      <c r="J310" s="76">
        <f t="shared" si="53"/>
        <v>864.34</v>
      </c>
      <c r="K310" s="76">
        <f t="shared" si="54"/>
        <v>1102.8499999999999</v>
      </c>
      <c r="L310" s="76"/>
      <c r="M310" s="76"/>
      <c r="N310" s="76"/>
      <c r="O310" s="51"/>
      <c r="R310" s="53">
        <v>37.58</v>
      </c>
    </row>
    <row r="311" spans="1:18" s="56" customFormat="1" ht="12" x14ac:dyDescent="0.2">
      <c r="A311" s="73" t="s">
        <v>610</v>
      </c>
      <c r="B311" s="73" t="s">
        <v>611</v>
      </c>
      <c r="C311" s="74" t="s">
        <v>612</v>
      </c>
      <c r="D311" s="73" t="s">
        <v>102</v>
      </c>
      <c r="E311" s="75">
        <v>17</v>
      </c>
      <c r="F311" s="75"/>
      <c r="G311" s="75"/>
      <c r="H311" s="75">
        <f t="shared" si="55"/>
        <v>30.88</v>
      </c>
      <c r="I311" s="75">
        <f t="shared" si="56"/>
        <v>39.4</v>
      </c>
      <c r="J311" s="76">
        <f t="shared" si="53"/>
        <v>524.96</v>
      </c>
      <c r="K311" s="76">
        <f t="shared" si="54"/>
        <v>669.8</v>
      </c>
      <c r="L311" s="76"/>
      <c r="M311" s="76"/>
      <c r="N311" s="76"/>
      <c r="O311" s="51"/>
      <c r="R311" s="53">
        <v>30.88</v>
      </c>
    </row>
    <row r="312" spans="1:18" s="56" customFormat="1" ht="12" x14ac:dyDescent="0.2">
      <c r="A312" s="72"/>
      <c r="B312" s="71"/>
      <c r="C312" s="71"/>
      <c r="D312" s="71"/>
      <c r="E312" s="71"/>
      <c r="F312" s="71"/>
      <c r="G312" s="71"/>
      <c r="H312" s="75"/>
      <c r="I312" s="77" t="s">
        <v>613</v>
      </c>
      <c r="J312" s="78">
        <f>SUM(J258:J311)</f>
        <v>42951.439999999995</v>
      </c>
      <c r="K312" s="78">
        <f>SUM(K258:K311)</f>
        <v>54802.05</v>
      </c>
      <c r="L312" s="78"/>
      <c r="M312" s="78"/>
      <c r="N312" s="78"/>
      <c r="O312" s="60"/>
      <c r="R312" s="59"/>
    </row>
    <row r="313" spans="1:18" s="56" customFormat="1" ht="12" x14ac:dyDescent="0.2">
      <c r="A313" s="72"/>
      <c r="B313" s="70" t="s">
        <v>614</v>
      </c>
      <c r="C313" s="71" t="s">
        <v>615</v>
      </c>
      <c r="D313" s="72"/>
      <c r="E313" s="72"/>
      <c r="F313" s="72"/>
      <c r="G313" s="72"/>
      <c r="H313" s="75"/>
      <c r="I313" s="72"/>
      <c r="J313" s="72"/>
      <c r="K313" s="72"/>
      <c r="L313" s="72"/>
      <c r="M313" s="72"/>
      <c r="N313" s="72"/>
      <c r="O313" s="52"/>
      <c r="R313" s="52"/>
    </row>
    <row r="314" spans="1:18" s="56" customFormat="1" ht="24" x14ac:dyDescent="0.2">
      <c r="A314" s="73" t="s">
        <v>78</v>
      </c>
      <c r="B314" s="73" t="s">
        <v>616</v>
      </c>
      <c r="C314" s="74" t="s">
        <v>617</v>
      </c>
      <c r="D314" s="73" t="s">
        <v>102</v>
      </c>
      <c r="E314" s="75">
        <v>2</v>
      </c>
      <c r="F314" s="75"/>
      <c r="G314" s="75"/>
      <c r="H314" s="75">
        <f>ROUND(R314*$R$12,2)</f>
        <v>1100.49</v>
      </c>
      <c r="I314" s="75">
        <f>ROUND(H314*(1+$S$1),2)</f>
        <v>1404.12</v>
      </c>
      <c r="J314" s="76">
        <f>ROUND(E314*H314,2)</f>
        <v>2200.98</v>
      </c>
      <c r="K314" s="76">
        <f>ROUND(E314*I314,2)</f>
        <v>2808.24</v>
      </c>
      <c r="L314" s="76"/>
      <c r="M314" s="76"/>
      <c r="N314" s="76"/>
      <c r="O314" s="51"/>
      <c r="R314" s="51">
        <v>1100.49</v>
      </c>
    </row>
    <row r="315" spans="1:18" s="56" customFormat="1" ht="12" x14ac:dyDescent="0.2">
      <c r="A315" s="73" t="s">
        <v>308</v>
      </c>
      <c r="B315" s="73" t="s">
        <v>618</v>
      </c>
      <c r="C315" s="74" t="s">
        <v>619</v>
      </c>
      <c r="D315" s="73" t="s">
        <v>102</v>
      </c>
      <c r="E315" s="75">
        <v>1</v>
      </c>
      <c r="F315" s="75"/>
      <c r="G315" s="75"/>
      <c r="H315" s="75">
        <f>ROUND(R315*$R$12,2)</f>
        <v>33</v>
      </c>
      <c r="I315" s="75">
        <f>ROUND(H315*(1+$S$1),2)</f>
        <v>42.1</v>
      </c>
      <c r="J315" s="76">
        <f>ROUND(E315*H315,2)</f>
        <v>33</v>
      </c>
      <c r="K315" s="76">
        <f>ROUND(E315*I315,2)</f>
        <v>42.1</v>
      </c>
      <c r="L315" s="76"/>
      <c r="M315" s="76"/>
      <c r="N315" s="76"/>
      <c r="O315" s="51"/>
      <c r="R315" s="53">
        <v>33</v>
      </c>
    </row>
    <row r="316" spans="1:18" s="56" customFormat="1" ht="12" x14ac:dyDescent="0.2">
      <c r="A316" s="73" t="s">
        <v>308</v>
      </c>
      <c r="B316" s="73" t="s">
        <v>620</v>
      </c>
      <c r="C316" s="74" t="s">
        <v>621</v>
      </c>
      <c r="D316" s="73" t="s">
        <v>102</v>
      </c>
      <c r="E316" s="75">
        <v>2</v>
      </c>
      <c r="F316" s="75"/>
      <c r="G316" s="75"/>
      <c r="H316" s="75">
        <f>ROUND(R316*$R$12,2)</f>
        <v>36.5</v>
      </c>
      <c r="I316" s="75">
        <f>ROUND(H316*(1+$S$1),2)</f>
        <v>46.57</v>
      </c>
      <c r="J316" s="76">
        <f>ROUND(E316*H316,2)</f>
        <v>73</v>
      </c>
      <c r="K316" s="76">
        <f>ROUND(E316*I316,2)</f>
        <v>93.14</v>
      </c>
      <c r="L316" s="76"/>
      <c r="M316" s="76"/>
      <c r="N316" s="76"/>
      <c r="O316" s="51"/>
      <c r="R316" s="53">
        <v>36.5</v>
      </c>
    </row>
    <row r="317" spans="1:18" s="56" customFormat="1" ht="12" x14ac:dyDescent="0.2">
      <c r="A317" s="72"/>
      <c r="B317" s="71"/>
      <c r="C317" s="71"/>
      <c r="D317" s="71"/>
      <c r="E317" s="71"/>
      <c r="F317" s="71"/>
      <c r="G317" s="71"/>
      <c r="H317" s="75"/>
      <c r="I317" s="77" t="s">
        <v>622</v>
      </c>
      <c r="J317" s="78">
        <f>SUM(J314:J316)</f>
        <v>2306.98</v>
      </c>
      <c r="K317" s="78">
        <f>SUM(K314:K316)</f>
        <v>2943.4799999999996</v>
      </c>
      <c r="L317" s="78"/>
      <c r="M317" s="78"/>
      <c r="N317" s="78"/>
      <c r="O317" s="60"/>
      <c r="R317" s="59"/>
    </row>
    <row r="318" spans="1:18" s="56" customFormat="1" ht="12" x14ac:dyDescent="0.2">
      <c r="A318" s="72"/>
      <c r="B318" s="70" t="s">
        <v>623</v>
      </c>
      <c r="C318" s="71" t="s">
        <v>624</v>
      </c>
      <c r="D318" s="72"/>
      <c r="E318" s="72"/>
      <c r="F318" s="72"/>
      <c r="G318" s="72"/>
      <c r="H318" s="75"/>
      <c r="I318" s="72"/>
      <c r="J318" s="72"/>
      <c r="K318" s="72"/>
      <c r="L318" s="72"/>
      <c r="M318" s="72"/>
      <c r="N318" s="72"/>
      <c r="O318" s="52"/>
      <c r="R318" s="52"/>
    </row>
    <row r="319" spans="1:18" s="56" customFormat="1" ht="12" x14ac:dyDescent="0.2">
      <c r="A319" s="72"/>
      <c r="B319" s="70" t="s">
        <v>625</v>
      </c>
      <c r="C319" s="71" t="s">
        <v>626</v>
      </c>
      <c r="D319" s="72"/>
      <c r="E319" s="72"/>
      <c r="F319" s="72"/>
      <c r="G319" s="72"/>
      <c r="H319" s="75"/>
      <c r="I319" s="72"/>
      <c r="J319" s="72"/>
      <c r="K319" s="72"/>
      <c r="L319" s="72"/>
      <c r="M319" s="72"/>
      <c r="N319" s="72"/>
      <c r="O319" s="52"/>
      <c r="R319" s="52"/>
    </row>
    <row r="320" spans="1:18" s="56" customFormat="1" ht="12" x14ac:dyDescent="0.2">
      <c r="A320" s="94">
        <v>92688</v>
      </c>
      <c r="B320" s="80">
        <v>42736</v>
      </c>
      <c r="C320" s="74" t="s">
        <v>627</v>
      </c>
      <c r="D320" s="73" t="s">
        <v>81</v>
      </c>
      <c r="E320" s="75">
        <v>18</v>
      </c>
      <c r="F320" s="75"/>
      <c r="G320" s="75"/>
      <c r="H320" s="75">
        <f>ROUND(R320*$R$12,2)</f>
        <v>25.9</v>
      </c>
      <c r="I320" s="75">
        <f>ROUND(H320*(1+$S$1),2)</f>
        <v>33.049999999999997</v>
      </c>
      <c r="J320" s="76">
        <f>ROUND(E320*H320,2)</f>
        <v>466.2</v>
      </c>
      <c r="K320" s="76">
        <f>ROUND(E320*I320,2)</f>
        <v>594.9</v>
      </c>
      <c r="L320" s="76"/>
      <c r="M320" s="76"/>
      <c r="N320" s="76"/>
      <c r="O320" s="51"/>
      <c r="R320" s="53">
        <v>25.9</v>
      </c>
    </row>
    <row r="321" spans="1:18" s="56" customFormat="1" ht="12" x14ac:dyDescent="0.2">
      <c r="A321" s="94">
        <v>97535</v>
      </c>
      <c r="B321" s="80">
        <v>42737</v>
      </c>
      <c r="C321" s="74" t="s">
        <v>628</v>
      </c>
      <c r="D321" s="73" t="s">
        <v>81</v>
      </c>
      <c r="E321" s="75">
        <v>24</v>
      </c>
      <c r="F321" s="75"/>
      <c r="G321" s="75"/>
      <c r="H321" s="75">
        <f>ROUND(R321*$R$12,2)</f>
        <v>32.049999999999997</v>
      </c>
      <c r="I321" s="75">
        <f>ROUND(H321*(1+$S$1),2)</f>
        <v>40.89</v>
      </c>
      <c r="J321" s="76">
        <f>ROUND(E321*H321,2)</f>
        <v>769.2</v>
      </c>
      <c r="K321" s="76">
        <f>ROUND(E321*I321,2)</f>
        <v>981.36</v>
      </c>
      <c r="L321" s="76"/>
      <c r="M321" s="76"/>
      <c r="N321" s="76"/>
      <c r="O321" s="51"/>
      <c r="R321" s="53">
        <v>32.049999999999997</v>
      </c>
    </row>
    <row r="322" spans="1:18" s="56" customFormat="1" ht="12" x14ac:dyDescent="0.2">
      <c r="A322" s="94">
        <v>92653</v>
      </c>
      <c r="B322" s="80">
        <v>42738</v>
      </c>
      <c r="C322" s="74" t="s">
        <v>629</v>
      </c>
      <c r="D322" s="73" t="s">
        <v>81</v>
      </c>
      <c r="E322" s="75">
        <v>36</v>
      </c>
      <c r="F322" s="75"/>
      <c r="G322" s="75"/>
      <c r="H322" s="75">
        <f>ROUND(R322*$R$12,2)</f>
        <v>43.81</v>
      </c>
      <c r="I322" s="75">
        <f>ROUND(H322*(1+$S$1),2)</f>
        <v>55.9</v>
      </c>
      <c r="J322" s="76">
        <f>ROUND(E322*H322,2)</f>
        <v>1577.16</v>
      </c>
      <c r="K322" s="76">
        <f>ROUND(E322*I322,2)</f>
        <v>2012.4</v>
      </c>
      <c r="L322" s="76"/>
      <c r="M322" s="76"/>
      <c r="N322" s="76"/>
      <c r="O322" s="51"/>
      <c r="R322" s="53">
        <v>43.81</v>
      </c>
    </row>
    <row r="323" spans="1:18" s="56" customFormat="1" ht="12" x14ac:dyDescent="0.2">
      <c r="A323" s="94">
        <v>92656</v>
      </c>
      <c r="B323" s="80">
        <v>42739</v>
      </c>
      <c r="C323" s="74" t="s">
        <v>630</v>
      </c>
      <c r="D323" s="73" t="s">
        <v>81</v>
      </c>
      <c r="E323" s="75">
        <v>12</v>
      </c>
      <c r="F323" s="75"/>
      <c r="G323" s="75"/>
      <c r="H323" s="75">
        <f>ROUND(R323*$R$12,2)</f>
        <v>79.11</v>
      </c>
      <c r="I323" s="75">
        <f>ROUND(H323*(1+$S$1),2)</f>
        <v>100.94</v>
      </c>
      <c r="J323" s="76">
        <f>ROUND(E323*H323,2)</f>
        <v>949.32</v>
      </c>
      <c r="K323" s="76">
        <f>ROUND(E323*I323,2)</f>
        <v>1211.28</v>
      </c>
      <c r="L323" s="76"/>
      <c r="M323" s="76"/>
      <c r="N323" s="76"/>
      <c r="O323" s="51"/>
      <c r="R323" s="53">
        <v>79.11</v>
      </c>
    </row>
    <row r="324" spans="1:18" s="56" customFormat="1" ht="12" x14ac:dyDescent="0.2">
      <c r="A324" s="72"/>
      <c r="B324" s="70" t="s">
        <v>631</v>
      </c>
      <c r="C324" s="71" t="s">
        <v>632</v>
      </c>
      <c r="D324" s="72"/>
      <c r="E324" s="72"/>
      <c r="F324" s="72"/>
      <c r="G324" s="72"/>
      <c r="H324" s="75"/>
      <c r="I324" s="72"/>
      <c r="J324" s="72"/>
      <c r="K324" s="72"/>
      <c r="L324" s="72"/>
      <c r="M324" s="72"/>
      <c r="N324" s="72"/>
      <c r="O324" s="52"/>
      <c r="R324" s="52"/>
    </row>
    <row r="325" spans="1:18" s="56" customFormat="1" ht="12" x14ac:dyDescent="0.2">
      <c r="A325" s="94">
        <v>92939</v>
      </c>
      <c r="B325" s="80">
        <v>42767</v>
      </c>
      <c r="C325" s="74" t="s">
        <v>633</v>
      </c>
      <c r="D325" s="73" t="s">
        <v>102</v>
      </c>
      <c r="E325" s="75">
        <v>2</v>
      </c>
      <c r="F325" s="75"/>
      <c r="G325" s="75"/>
      <c r="H325" s="75">
        <f>ROUND(R325*$R$12,2)</f>
        <v>17.52</v>
      </c>
      <c r="I325" s="75">
        <f>ROUND(H325*(1+$S$1),2)</f>
        <v>22.35</v>
      </c>
      <c r="J325" s="76">
        <f>ROUND(E325*H325,2)</f>
        <v>35.04</v>
      </c>
      <c r="K325" s="76">
        <f>ROUND(E325*I325,2)</f>
        <v>44.7</v>
      </c>
      <c r="L325" s="76"/>
      <c r="M325" s="76"/>
      <c r="N325" s="76"/>
      <c r="O325" s="51"/>
      <c r="R325" s="53">
        <v>17.52</v>
      </c>
    </row>
    <row r="326" spans="1:18" s="56" customFormat="1" ht="12" x14ac:dyDescent="0.2">
      <c r="A326" s="72"/>
      <c r="B326" s="70" t="s">
        <v>634</v>
      </c>
      <c r="C326" s="71" t="s">
        <v>635</v>
      </c>
      <c r="D326" s="72"/>
      <c r="E326" s="72"/>
      <c r="F326" s="72"/>
      <c r="G326" s="72"/>
      <c r="H326" s="75"/>
      <c r="I326" s="72"/>
      <c r="J326" s="72"/>
      <c r="K326" s="72"/>
      <c r="L326" s="72"/>
      <c r="M326" s="72"/>
      <c r="N326" s="72"/>
      <c r="O326" s="52"/>
      <c r="R326" s="52"/>
    </row>
    <row r="327" spans="1:18" s="56" customFormat="1" ht="12" x14ac:dyDescent="0.2">
      <c r="A327" s="94">
        <v>92701</v>
      </c>
      <c r="B327" s="80">
        <v>42795</v>
      </c>
      <c r="C327" s="74" t="s">
        <v>636</v>
      </c>
      <c r="D327" s="73" t="s">
        <v>102</v>
      </c>
      <c r="E327" s="75">
        <v>4</v>
      </c>
      <c r="F327" s="75"/>
      <c r="G327" s="75"/>
      <c r="H327" s="75">
        <f>ROUND(R327*$R$12,2)</f>
        <v>21.04</v>
      </c>
      <c r="I327" s="75">
        <f>ROUND(H327*(1+$S$1),2)</f>
        <v>26.84</v>
      </c>
      <c r="J327" s="76">
        <f>ROUND(E327*H327,2)</f>
        <v>84.16</v>
      </c>
      <c r="K327" s="76">
        <f>ROUND(E327*I327,2)</f>
        <v>107.36</v>
      </c>
      <c r="L327" s="76"/>
      <c r="M327" s="76"/>
      <c r="N327" s="76"/>
      <c r="O327" s="51"/>
      <c r="R327" s="53">
        <v>21.04</v>
      </c>
    </row>
    <row r="328" spans="1:18" s="56" customFormat="1" ht="12" x14ac:dyDescent="0.2">
      <c r="A328" s="94">
        <v>92674</v>
      </c>
      <c r="B328" s="80">
        <v>42796</v>
      </c>
      <c r="C328" s="74" t="s">
        <v>637</v>
      </c>
      <c r="D328" s="73" t="s">
        <v>102</v>
      </c>
      <c r="E328" s="75">
        <v>4</v>
      </c>
      <c r="F328" s="75"/>
      <c r="G328" s="75"/>
      <c r="H328" s="75">
        <f>ROUND(R328*$R$12,2)</f>
        <v>34.25</v>
      </c>
      <c r="I328" s="75">
        <f>ROUND(H328*(1+$S$1),2)</f>
        <v>43.7</v>
      </c>
      <c r="J328" s="76">
        <f>ROUND(E328*H328,2)</f>
        <v>137</v>
      </c>
      <c r="K328" s="76">
        <f>ROUND(E328*I328,2)</f>
        <v>174.8</v>
      </c>
      <c r="L328" s="76"/>
      <c r="M328" s="76"/>
      <c r="N328" s="76"/>
      <c r="O328" s="51"/>
      <c r="R328" s="53">
        <v>34.25</v>
      </c>
    </row>
    <row r="329" spans="1:18" s="56" customFormat="1" ht="12" x14ac:dyDescent="0.2">
      <c r="A329" s="94">
        <v>92703</v>
      </c>
      <c r="B329" s="80">
        <v>42797</v>
      </c>
      <c r="C329" s="74" t="s">
        <v>638</v>
      </c>
      <c r="D329" s="73" t="s">
        <v>102</v>
      </c>
      <c r="E329" s="75">
        <v>15</v>
      </c>
      <c r="F329" s="75"/>
      <c r="G329" s="75"/>
      <c r="H329" s="75">
        <f>ROUND(R329*$R$12,2)</f>
        <v>33.51</v>
      </c>
      <c r="I329" s="75">
        <f>ROUND(H329*(1+$S$1),2)</f>
        <v>42.76</v>
      </c>
      <c r="J329" s="76">
        <f>ROUND(E329*H329,2)</f>
        <v>502.65</v>
      </c>
      <c r="K329" s="76">
        <f>ROUND(E329*I329,2)</f>
        <v>641.4</v>
      </c>
      <c r="L329" s="76"/>
      <c r="M329" s="76"/>
      <c r="N329" s="76"/>
      <c r="O329" s="51"/>
      <c r="R329" s="53">
        <v>33.51</v>
      </c>
    </row>
    <row r="330" spans="1:18" s="56" customFormat="1" ht="12" x14ac:dyDescent="0.2">
      <c r="A330" s="94">
        <v>92680</v>
      </c>
      <c r="B330" s="80">
        <v>42798</v>
      </c>
      <c r="C330" s="74" t="s">
        <v>639</v>
      </c>
      <c r="D330" s="73" t="s">
        <v>102</v>
      </c>
      <c r="E330" s="75">
        <v>8</v>
      </c>
      <c r="F330" s="75"/>
      <c r="G330" s="75"/>
      <c r="H330" s="75">
        <f>ROUND(R330*$R$12,2)</f>
        <v>87.03</v>
      </c>
      <c r="I330" s="75">
        <f>ROUND(H330*(1+$S$1),2)</f>
        <v>111.04</v>
      </c>
      <c r="J330" s="76">
        <f>ROUND(E330*H330,2)</f>
        <v>696.24</v>
      </c>
      <c r="K330" s="76">
        <f>ROUND(E330*I330,2)</f>
        <v>888.32</v>
      </c>
      <c r="L330" s="76"/>
      <c r="M330" s="76"/>
      <c r="N330" s="76"/>
      <c r="O330" s="51"/>
      <c r="R330" s="53">
        <v>87.03</v>
      </c>
    </row>
    <row r="331" spans="1:18" s="56" customFormat="1" ht="12" x14ac:dyDescent="0.2">
      <c r="A331" s="72"/>
      <c r="B331" s="70" t="s">
        <v>640</v>
      </c>
      <c r="C331" s="71" t="s">
        <v>641</v>
      </c>
      <c r="D331" s="72"/>
      <c r="E331" s="72"/>
      <c r="F331" s="72"/>
      <c r="G331" s="72"/>
      <c r="H331" s="75"/>
      <c r="I331" s="72"/>
      <c r="J331" s="72"/>
      <c r="K331" s="72"/>
      <c r="L331" s="72"/>
      <c r="M331" s="72"/>
      <c r="N331" s="72"/>
      <c r="O331" s="52"/>
      <c r="R331" s="52"/>
    </row>
    <row r="332" spans="1:18" s="56" customFormat="1" ht="12" x14ac:dyDescent="0.2">
      <c r="A332" s="94">
        <v>92658</v>
      </c>
      <c r="B332" s="80">
        <v>42826</v>
      </c>
      <c r="C332" s="74" t="s">
        <v>642</v>
      </c>
      <c r="D332" s="73" t="s">
        <v>102</v>
      </c>
      <c r="E332" s="75">
        <v>1</v>
      </c>
      <c r="F332" s="75"/>
      <c r="G332" s="75"/>
      <c r="H332" s="75">
        <f>ROUND(R332*$R$12,2)</f>
        <v>17.47</v>
      </c>
      <c r="I332" s="75">
        <f>ROUND(H332*(1+$S$1),2)</f>
        <v>22.29</v>
      </c>
      <c r="J332" s="76">
        <f>ROUND(E332*H332,2)</f>
        <v>17.47</v>
      </c>
      <c r="K332" s="76">
        <f>ROUND(E332*I332,2)</f>
        <v>22.29</v>
      </c>
      <c r="L332" s="76"/>
      <c r="M332" s="76"/>
      <c r="N332" s="76"/>
      <c r="O332" s="51"/>
      <c r="R332" s="53">
        <v>17.47</v>
      </c>
    </row>
    <row r="333" spans="1:18" s="56" customFormat="1" ht="12" x14ac:dyDescent="0.2">
      <c r="A333" s="94">
        <v>92662</v>
      </c>
      <c r="B333" s="80">
        <v>42827</v>
      </c>
      <c r="C333" s="74" t="s">
        <v>643</v>
      </c>
      <c r="D333" s="73" t="s">
        <v>102</v>
      </c>
      <c r="E333" s="75">
        <v>1</v>
      </c>
      <c r="F333" s="75"/>
      <c r="G333" s="75"/>
      <c r="H333" s="75">
        <f>ROUND(R333*$R$12,2)</f>
        <v>23.58</v>
      </c>
      <c r="I333" s="75">
        <f>ROUND(H333*(1+$S$1),2)</f>
        <v>30.09</v>
      </c>
      <c r="J333" s="76">
        <f>ROUND(E333*H333,2)</f>
        <v>23.58</v>
      </c>
      <c r="K333" s="76">
        <f>ROUND(E333*I333,2)</f>
        <v>30.09</v>
      </c>
      <c r="L333" s="76"/>
      <c r="M333" s="76"/>
      <c r="N333" s="76"/>
      <c r="O333" s="51"/>
      <c r="R333" s="53">
        <v>23.58</v>
      </c>
    </row>
    <row r="334" spans="1:18" s="56" customFormat="1" ht="12" x14ac:dyDescent="0.2">
      <c r="A334" s="72"/>
      <c r="B334" s="70" t="s">
        <v>644</v>
      </c>
      <c r="C334" s="71" t="s">
        <v>450</v>
      </c>
      <c r="D334" s="72"/>
      <c r="E334" s="72"/>
      <c r="F334" s="72"/>
      <c r="G334" s="72"/>
      <c r="H334" s="75"/>
      <c r="I334" s="72"/>
      <c r="J334" s="72"/>
      <c r="K334" s="72"/>
      <c r="L334" s="72"/>
      <c r="M334" s="72"/>
      <c r="N334" s="72"/>
      <c r="O334" s="52"/>
      <c r="R334" s="52"/>
    </row>
    <row r="335" spans="1:18" s="56" customFormat="1" ht="12" x14ac:dyDescent="0.2">
      <c r="A335" s="94">
        <v>92683</v>
      </c>
      <c r="B335" s="80">
        <v>42856</v>
      </c>
      <c r="C335" s="74" t="s">
        <v>645</v>
      </c>
      <c r="D335" s="73" t="s">
        <v>102</v>
      </c>
      <c r="E335" s="75">
        <v>1</v>
      </c>
      <c r="F335" s="75"/>
      <c r="G335" s="75"/>
      <c r="H335" s="75">
        <f>ROUND(R335*$R$12,2)</f>
        <v>45.08</v>
      </c>
      <c r="I335" s="75">
        <f>ROUND(H335*(1+$S$1),2)</f>
        <v>57.52</v>
      </c>
      <c r="J335" s="76">
        <f>ROUND(E335*H335,2)</f>
        <v>45.08</v>
      </c>
      <c r="K335" s="76">
        <f>ROUND(E335*I335,2)</f>
        <v>57.52</v>
      </c>
      <c r="L335" s="76"/>
      <c r="M335" s="76"/>
      <c r="N335" s="76"/>
      <c r="O335" s="51"/>
      <c r="R335" s="53">
        <v>45.08</v>
      </c>
    </row>
    <row r="336" spans="1:18" s="56" customFormat="1" ht="12" x14ac:dyDescent="0.2">
      <c r="A336" s="94">
        <v>92681</v>
      </c>
      <c r="B336" s="80">
        <v>42857</v>
      </c>
      <c r="C336" s="74" t="s">
        <v>646</v>
      </c>
      <c r="D336" s="73" t="s">
        <v>102</v>
      </c>
      <c r="E336" s="75">
        <v>2</v>
      </c>
      <c r="F336" s="75"/>
      <c r="G336" s="75"/>
      <c r="H336" s="75">
        <f>ROUND(R336*$R$12,2)</f>
        <v>32.270000000000003</v>
      </c>
      <c r="I336" s="75">
        <f>ROUND(H336*(1+$S$1),2)</f>
        <v>41.17</v>
      </c>
      <c r="J336" s="76">
        <f>ROUND(E336*H336,2)</f>
        <v>64.540000000000006</v>
      </c>
      <c r="K336" s="76">
        <f>ROUND(E336*I336,2)</f>
        <v>82.34</v>
      </c>
      <c r="L336" s="76"/>
      <c r="M336" s="76"/>
      <c r="N336" s="76"/>
      <c r="O336" s="51"/>
      <c r="R336" s="53">
        <v>32.270000000000003</v>
      </c>
    </row>
    <row r="337" spans="1:18" s="56" customFormat="1" ht="12" x14ac:dyDescent="0.2">
      <c r="A337" s="73" t="s">
        <v>78</v>
      </c>
      <c r="B337" s="80">
        <v>42858</v>
      </c>
      <c r="C337" s="74" t="s">
        <v>647</v>
      </c>
      <c r="D337" s="73" t="s">
        <v>102</v>
      </c>
      <c r="E337" s="75">
        <v>1</v>
      </c>
      <c r="F337" s="75"/>
      <c r="G337" s="75"/>
      <c r="H337" s="75">
        <f>ROUND(R337*$R$12,2)</f>
        <v>32.92</v>
      </c>
      <c r="I337" s="75">
        <f>ROUND(H337*(1+$S$1),2)</f>
        <v>42</v>
      </c>
      <c r="J337" s="76">
        <f>ROUND(E337*H337,2)</f>
        <v>32.92</v>
      </c>
      <c r="K337" s="76">
        <f>ROUND(E337*I337,2)</f>
        <v>42</v>
      </c>
      <c r="L337" s="76"/>
      <c r="M337" s="76"/>
      <c r="N337" s="76"/>
      <c r="O337" s="51"/>
      <c r="R337" s="53">
        <v>32.92</v>
      </c>
    </row>
    <row r="338" spans="1:18" s="56" customFormat="1" ht="12" x14ac:dyDescent="0.2">
      <c r="A338" s="72"/>
      <c r="B338" s="70" t="s">
        <v>648</v>
      </c>
      <c r="C338" s="71" t="s">
        <v>473</v>
      </c>
      <c r="D338" s="72"/>
      <c r="E338" s="72"/>
      <c r="F338" s="72"/>
      <c r="G338" s="72"/>
      <c r="H338" s="75"/>
      <c r="I338" s="72"/>
      <c r="J338" s="72"/>
      <c r="K338" s="72"/>
      <c r="L338" s="72"/>
      <c r="M338" s="72"/>
      <c r="N338" s="72"/>
      <c r="O338" s="52"/>
      <c r="R338" s="52"/>
    </row>
    <row r="339" spans="1:18" s="56" customFormat="1" ht="12" x14ac:dyDescent="0.2">
      <c r="A339" s="94">
        <v>92898</v>
      </c>
      <c r="B339" s="80">
        <v>42887</v>
      </c>
      <c r="C339" s="74" t="s">
        <v>649</v>
      </c>
      <c r="D339" s="73" t="s">
        <v>102</v>
      </c>
      <c r="E339" s="75">
        <v>4</v>
      </c>
      <c r="F339" s="75"/>
      <c r="G339" s="75"/>
      <c r="H339" s="75">
        <f>ROUND(R339*$R$12,2)</f>
        <v>27.29</v>
      </c>
      <c r="I339" s="75">
        <f>ROUND(H339*(1+$S$1),2)</f>
        <v>34.82</v>
      </c>
      <c r="J339" s="76">
        <f>ROUND(E339*H339,2)</f>
        <v>109.16</v>
      </c>
      <c r="K339" s="76">
        <f>ROUND(E339*I339,2)</f>
        <v>139.28</v>
      </c>
      <c r="L339" s="76"/>
      <c r="M339" s="76"/>
      <c r="N339" s="76"/>
      <c r="O339" s="51"/>
      <c r="R339" s="53">
        <v>27.29</v>
      </c>
    </row>
    <row r="340" spans="1:18" s="56" customFormat="1" ht="12" x14ac:dyDescent="0.2">
      <c r="A340" s="94">
        <v>92900</v>
      </c>
      <c r="B340" s="80">
        <v>42888</v>
      </c>
      <c r="C340" s="74" t="s">
        <v>650</v>
      </c>
      <c r="D340" s="73" t="s">
        <v>102</v>
      </c>
      <c r="E340" s="75">
        <v>2</v>
      </c>
      <c r="F340" s="75"/>
      <c r="G340" s="75"/>
      <c r="H340" s="75">
        <f>ROUND(R340*$R$12,2)</f>
        <v>46.5</v>
      </c>
      <c r="I340" s="75">
        <f>ROUND(H340*(1+$S$1),2)</f>
        <v>59.33</v>
      </c>
      <c r="J340" s="76">
        <f>ROUND(E340*H340,2)</f>
        <v>93</v>
      </c>
      <c r="K340" s="76">
        <f>ROUND(E340*I340,2)</f>
        <v>118.66</v>
      </c>
      <c r="L340" s="76"/>
      <c r="M340" s="76"/>
      <c r="N340" s="76"/>
      <c r="O340" s="51"/>
      <c r="R340" s="53">
        <v>46.5</v>
      </c>
    </row>
    <row r="341" spans="1:18" s="56" customFormat="1" ht="12" x14ac:dyDescent="0.2">
      <c r="A341" s="72"/>
      <c r="B341" s="70" t="s">
        <v>651</v>
      </c>
      <c r="C341" s="71" t="s">
        <v>652</v>
      </c>
      <c r="D341" s="72"/>
      <c r="E341" s="72"/>
      <c r="F341" s="72"/>
      <c r="G341" s="72"/>
      <c r="H341" s="75"/>
      <c r="I341" s="72"/>
      <c r="J341" s="72"/>
      <c r="K341" s="72"/>
      <c r="L341" s="72"/>
      <c r="M341" s="72"/>
      <c r="N341" s="72"/>
      <c r="O341" s="52"/>
      <c r="R341" s="52"/>
    </row>
    <row r="342" spans="1:18" s="56" customFormat="1" ht="12" x14ac:dyDescent="0.2">
      <c r="A342" s="73" t="s">
        <v>78</v>
      </c>
      <c r="B342" s="80">
        <v>42917</v>
      </c>
      <c r="C342" s="74" t="s">
        <v>653</v>
      </c>
      <c r="D342" s="73" t="s">
        <v>102</v>
      </c>
      <c r="E342" s="75">
        <v>2</v>
      </c>
      <c r="F342" s="75"/>
      <c r="G342" s="75"/>
      <c r="H342" s="75">
        <f>ROUND(R342*$R$12,2)</f>
        <v>20.03</v>
      </c>
      <c r="I342" s="75">
        <f>ROUND(H342*(1+$S$1),2)</f>
        <v>25.56</v>
      </c>
      <c r="J342" s="76">
        <f>ROUND(E342*H342,2)</f>
        <v>40.06</v>
      </c>
      <c r="K342" s="76">
        <f>ROUND(E342*I342,2)</f>
        <v>51.12</v>
      </c>
      <c r="L342" s="76"/>
      <c r="M342" s="76"/>
      <c r="N342" s="76"/>
      <c r="O342" s="51"/>
      <c r="R342" s="53">
        <v>20.03</v>
      </c>
    </row>
    <row r="343" spans="1:18" s="56" customFormat="1" ht="12" x14ac:dyDescent="0.2">
      <c r="A343" s="72"/>
      <c r="B343" s="71"/>
      <c r="C343" s="71"/>
      <c r="D343" s="71"/>
      <c r="E343" s="71"/>
      <c r="F343" s="71"/>
      <c r="G343" s="71"/>
      <c r="H343" s="75"/>
      <c r="I343" s="77" t="s">
        <v>654</v>
      </c>
      <c r="J343" s="78">
        <f>SUM(J320:J342)</f>
        <v>5642.7800000000007</v>
      </c>
      <c r="K343" s="78">
        <f>SUM(K320:K342)</f>
        <v>7199.8199999999988</v>
      </c>
      <c r="L343" s="78"/>
      <c r="M343" s="78"/>
      <c r="N343" s="78"/>
      <c r="O343" s="60"/>
      <c r="R343" s="59"/>
    </row>
    <row r="344" spans="1:18" s="56" customFormat="1" ht="12" x14ac:dyDescent="0.2">
      <c r="A344" s="72"/>
      <c r="B344" s="69"/>
      <c r="C344" s="82"/>
      <c r="D344" s="72"/>
      <c r="E344" s="72"/>
      <c r="F344" s="72"/>
      <c r="G344" s="72"/>
      <c r="H344" s="75"/>
      <c r="I344" s="72"/>
      <c r="J344" s="72"/>
      <c r="K344" s="72"/>
      <c r="L344" s="72"/>
      <c r="M344" s="72"/>
      <c r="N344" s="72"/>
      <c r="O344" s="52"/>
      <c r="R344" s="52"/>
    </row>
    <row r="345" spans="1:18" s="56" customFormat="1" ht="12" x14ac:dyDescent="0.2">
      <c r="A345" s="72"/>
      <c r="B345" s="70" t="s">
        <v>655</v>
      </c>
      <c r="C345" s="71" t="s">
        <v>656</v>
      </c>
      <c r="D345" s="72"/>
      <c r="E345" s="72"/>
      <c r="F345" s="72"/>
      <c r="G345" s="72"/>
      <c r="H345" s="75"/>
      <c r="I345" s="72"/>
      <c r="J345" s="72"/>
      <c r="K345" s="72"/>
      <c r="L345" s="72"/>
      <c r="M345" s="72"/>
      <c r="N345" s="72"/>
      <c r="O345" s="52"/>
      <c r="R345" s="52"/>
    </row>
    <row r="346" spans="1:18" s="56" customFormat="1" ht="12" x14ac:dyDescent="0.2">
      <c r="A346" s="72"/>
      <c r="B346" s="70" t="s">
        <v>657</v>
      </c>
      <c r="C346" s="71" t="s">
        <v>626</v>
      </c>
      <c r="D346" s="72"/>
      <c r="E346" s="72"/>
      <c r="F346" s="72"/>
      <c r="G346" s="72"/>
      <c r="H346" s="75"/>
      <c r="I346" s="72"/>
      <c r="J346" s="72"/>
      <c r="K346" s="72"/>
      <c r="L346" s="72"/>
      <c r="M346" s="72"/>
      <c r="N346" s="72"/>
      <c r="O346" s="52"/>
      <c r="R346" s="52"/>
    </row>
    <row r="347" spans="1:18" s="56" customFormat="1" ht="24" x14ac:dyDescent="0.2">
      <c r="A347" s="73" t="s">
        <v>78</v>
      </c>
      <c r="B347" s="80">
        <v>43101</v>
      </c>
      <c r="C347" s="74" t="s">
        <v>658</v>
      </c>
      <c r="D347" s="73" t="s">
        <v>81</v>
      </c>
      <c r="E347" s="75">
        <v>15.5</v>
      </c>
      <c r="F347" s="75"/>
      <c r="G347" s="75"/>
      <c r="H347" s="75">
        <f t="shared" ref="H347:H352" si="57">ROUND(R347*$R$12,2)</f>
        <v>15.13</v>
      </c>
      <c r="I347" s="75">
        <f t="shared" ref="I347:I352" si="58">ROUND(H347*(1+$S$1),2)</f>
        <v>19.3</v>
      </c>
      <c r="J347" s="76">
        <f t="shared" ref="J347:J352" si="59">ROUND(E347*H347,2)</f>
        <v>234.52</v>
      </c>
      <c r="K347" s="76">
        <f t="shared" ref="K347:K352" si="60">ROUND(E347*I347,2)</f>
        <v>299.14999999999998</v>
      </c>
      <c r="L347" s="76"/>
      <c r="M347" s="76"/>
      <c r="N347" s="76"/>
      <c r="O347" s="51"/>
      <c r="R347" s="53">
        <v>15.13</v>
      </c>
    </row>
    <row r="348" spans="1:18" s="56" customFormat="1" ht="24" x14ac:dyDescent="0.2">
      <c r="A348" s="73" t="s">
        <v>78</v>
      </c>
      <c r="B348" s="80">
        <v>43102</v>
      </c>
      <c r="C348" s="74" t="s">
        <v>659</v>
      </c>
      <c r="D348" s="73" t="s">
        <v>81</v>
      </c>
      <c r="E348" s="75">
        <v>127.6</v>
      </c>
      <c r="F348" s="75"/>
      <c r="G348" s="75"/>
      <c r="H348" s="75">
        <f t="shared" si="57"/>
        <v>29.08</v>
      </c>
      <c r="I348" s="75">
        <f t="shared" si="58"/>
        <v>37.1</v>
      </c>
      <c r="J348" s="76">
        <f t="shared" si="59"/>
        <v>3710.61</v>
      </c>
      <c r="K348" s="76">
        <f t="shared" si="60"/>
        <v>4733.96</v>
      </c>
      <c r="L348" s="76"/>
      <c r="M348" s="76"/>
      <c r="N348" s="76"/>
      <c r="O348" s="51"/>
      <c r="R348" s="53">
        <v>29.08</v>
      </c>
    </row>
    <row r="349" spans="1:18" s="56" customFormat="1" ht="24" x14ac:dyDescent="0.2">
      <c r="A349" s="73" t="s">
        <v>78</v>
      </c>
      <c r="B349" s="80">
        <v>43103</v>
      </c>
      <c r="C349" s="74" t="s">
        <v>660</v>
      </c>
      <c r="D349" s="73" t="s">
        <v>81</v>
      </c>
      <c r="E349" s="75">
        <v>18</v>
      </c>
      <c r="F349" s="75"/>
      <c r="G349" s="75"/>
      <c r="H349" s="75">
        <f t="shared" si="57"/>
        <v>25.97</v>
      </c>
      <c r="I349" s="75">
        <f t="shared" si="58"/>
        <v>33.14</v>
      </c>
      <c r="J349" s="76">
        <f t="shared" si="59"/>
        <v>467.46</v>
      </c>
      <c r="K349" s="76">
        <f t="shared" si="60"/>
        <v>596.52</v>
      </c>
      <c r="L349" s="76"/>
      <c r="M349" s="76"/>
      <c r="N349" s="76"/>
      <c r="O349" s="51"/>
      <c r="R349" s="53">
        <v>25.97</v>
      </c>
    </row>
    <row r="350" spans="1:18" s="56" customFormat="1" ht="24" x14ac:dyDescent="0.2">
      <c r="A350" s="73" t="s">
        <v>78</v>
      </c>
      <c r="B350" s="80">
        <v>43104</v>
      </c>
      <c r="C350" s="74" t="s">
        <v>661</v>
      </c>
      <c r="D350" s="73" t="s">
        <v>81</v>
      </c>
      <c r="E350" s="75">
        <v>28.7</v>
      </c>
      <c r="F350" s="75"/>
      <c r="G350" s="75"/>
      <c r="H350" s="75">
        <f t="shared" si="57"/>
        <v>39.630000000000003</v>
      </c>
      <c r="I350" s="75">
        <f t="shared" si="58"/>
        <v>50.56</v>
      </c>
      <c r="J350" s="76">
        <f t="shared" si="59"/>
        <v>1137.3800000000001</v>
      </c>
      <c r="K350" s="76">
        <f t="shared" si="60"/>
        <v>1451.07</v>
      </c>
      <c r="L350" s="76"/>
      <c r="M350" s="76"/>
      <c r="N350" s="76"/>
      <c r="O350" s="51"/>
      <c r="R350" s="53">
        <v>39.630000000000003</v>
      </c>
    </row>
    <row r="351" spans="1:18" s="56" customFormat="1" ht="24" x14ac:dyDescent="0.2">
      <c r="A351" s="73" t="s">
        <v>78</v>
      </c>
      <c r="B351" s="80">
        <v>43105</v>
      </c>
      <c r="C351" s="74" t="s">
        <v>662</v>
      </c>
      <c r="D351" s="73" t="s">
        <v>81</v>
      </c>
      <c r="E351" s="75">
        <v>34.9</v>
      </c>
      <c r="F351" s="75"/>
      <c r="G351" s="75"/>
      <c r="H351" s="75">
        <f t="shared" si="57"/>
        <v>65.430000000000007</v>
      </c>
      <c r="I351" s="75">
        <f t="shared" si="58"/>
        <v>83.48</v>
      </c>
      <c r="J351" s="76">
        <f t="shared" si="59"/>
        <v>2283.5100000000002</v>
      </c>
      <c r="K351" s="76">
        <f t="shared" si="60"/>
        <v>2913.45</v>
      </c>
      <c r="L351" s="76"/>
      <c r="M351" s="76"/>
      <c r="N351" s="76"/>
      <c r="O351" s="51"/>
      <c r="R351" s="53">
        <v>65.430000000000007</v>
      </c>
    </row>
    <row r="352" spans="1:18" s="56" customFormat="1" ht="24" x14ac:dyDescent="0.2">
      <c r="A352" s="73" t="s">
        <v>78</v>
      </c>
      <c r="B352" s="80">
        <v>43106</v>
      </c>
      <c r="C352" s="74" t="s">
        <v>663</v>
      </c>
      <c r="D352" s="73" t="s">
        <v>81</v>
      </c>
      <c r="E352" s="75">
        <v>13</v>
      </c>
      <c r="F352" s="75"/>
      <c r="G352" s="75"/>
      <c r="H352" s="75">
        <f t="shared" si="57"/>
        <v>103.37</v>
      </c>
      <c r="I352" s="75">
        <f t="shared" si="58"/>
        <v>131.88999999999999</v>
      </c>
      <c r="J352" s="76">
        <f t="shared" si="59"/>
        <v>1343.81</v>
      </c>
      <c r="K352" s="76">
        <f t="shared" si="60"/>
        <v>1714.57</v>
      </c>
      <c r="L352" s="76"/>
      <c r="M352" s="76"/>
      <c r="N352" s="76"/>
      <c r="O352" s="51"/>
      <c r="R352" s="53">
        <v>103.37</v>
      </c>
    </row>
    <row r="353" spans="1:18" s="56" customFormat="1" ht="12" x14ac:dyDescent="0.2">
      <c r="A353" s="72"/>
      <c r="B353" s="70" t="s">
        <v>664</v>
      </c>
      <c r="C353" s="71" t="s">
        <v>665</v>
      </c>
      <c r="D353" s="72"/>
      <c r="E353" s="72"/>
      <c r="F353" s="72"/>
      <c r="G353" s="72"/>
      <c r="H353" s="75"/>
      <c r="I353" s="72"/>
      <c r="J353" s="72"/>
      <c r="K353" s="72"/>
      <c r="L353" s="72"/>
      <c r="M353" s="72"/>
      <c r="N353" s="72"/>
      <c r="O353" s="52"/>
      <c r="R353" s="52"/>
    </row>
    <row r="354" spans="1:18" s="56" customFormat="1" ht="24" x14ac:dyDescent="0.2">
      <c r="A354" s="94">
        <v>89592</v>
      </c>
      <c r="B354" s="80">
        <v>43132</v>
      </c>
      <c r="C354" s="74" t="s">
        <v>666</v>
      </c>
      <c r="D354" s="73" t="s">
        <v>102</v>
      </c>
      <c r="E354" s="75">
        <v>11</v>
      </c>
      <c r="F354" s="75"/>
      <c r="G354" s="75"/>
      <c r="H354" s="75">
        <f>ROUND(R354*$R$12,2)</f>
        <v>231.71</v>
      </c>
      <c r="I354" s="75">
        <f>ROUND(H354*(1+$S$1),2)</f>
        <v>295.64</v>
      </c>
      <c r="J354" s="76">
        <f>ROUND(E354*H354,2)</f>
        <v>2548.81</v>
      </c>
      <c r="K354" s="76">
        <f>ROUND(E354*I354,2)</f>
        <v>3252.04</v>
      </c>
      <c r="L354" s="76"/>
      <c r="M354" s="76"/>
      <c r="N354" s="76"/>
      <c r="O354" s="51"/>
      <c r="R354" s="53">
        <v>231.71</v>
      </c>
    </row>
    <row r="355" spans="1:18" s="56" customFormat="1" ht="24" x14ac:dyDescent="0.2">
      <c r="A355" s="94">
        <v>89587</v>
      </c>
      <c r="B355" s="80">
        <v>43133</v>
      </c>
      <c r="C355" s="74" t="s">
        <v>667</v>
      </c>
      <c r="D355" s="73" t="s">
        <v>102</v>
      </c>
      <c r="E355" s="75">
        <v>1</v>
      </c>
      <c r="F355" s="75"/>
      <c r="G355" s="75"/>
      <c r="H355" s="75">
        <f>ROUND(R355*$R$12,2)</f>
        <v>35.79</v>
      </c>
      <c r="I355" s="75">
        <f>ROUND(H355*(1+$S$1),2)</f>
        <v>45.66</v>
      </c>
      <c r="J355" s="76">
        <f>ROUND(E355*H355,2)</f>
        <v>35.79</v>
      </c>
      <c r="K355" s="76">
        <f>ROUND(E355*I355,2)</f>
        <v>45.66</v>
      </c>
      <c r="L355" s="76"/>
      <c r="M355" s="76"/>
      <c r="N355" s="76"/>
      <c r="O355" s="51"/>
      <c r="R355" s="53">
        <v>35.79</v>
      </c>
    </row>
    <row r="356" spans="1:18" s="56" customFormat="1" ht="12" x14ac:dyDescent="0.2">
      <c r="A356" s="72"/>
      <c r="B356" s="70" t="s">
        <v>668</v>
      </c>
      <c r="C356" s="71" t="s">
        <v>635</v>
      </c>
      <c r="D356" s="72"/>
      <c r="E356" s="72"/>
      <c r="F356" s="72"/>
      <c r="G356" s="72"/>
      <c r="H356" s="75"/>
      <c r="I356" s="72"/>
      <c r="J356" s="72"/>
      <c r="K356" s="72"/>
      <c r="L356" s="72"/>
      <c r="M356" s="72"/>
      <c r="N356" s="72"/>
      <c r="O356" s="52"/>
      <c r="R356" s="52"/>
    </row>
    <row r="357" spans="1:18" s="56" customFormat="1" ht="24" x14ac:dyDescent="0.2">
      <c r="A357" s="94">
        <v>89591</v>
      </c>
      <c r="B357" s="80">
        <v>43160</v>
      </c>
      <c r="C357" s="74" t="s">
        <v>669</v>
      </c>
      <c r="D357" s="73" t="s">
        <v>102</v>
      </c>
      <c r="E357" s="75">
        <v>2</v>
      </c>
      <c r="F357" s="75"/>
      <c r="G357" s="75"/>
      <c r="H357" s="75">
        <f>ROUND(R357*$R$12,2)</f>
        <v>56.03</v>
      </c>
      <c r="I357" s="75">
        <f>ROUND(H357*(1+$S$1),2)</f>
        <v>71.489999999999995</v>
      </c>
      <c r="J357" s="76">
        <f>ROUND(E357*H357,2)</f>
        <v>112.06</v>
      </c>
      <c r="K357" s="76">
        <f>ROUND(E357*I357,2)</f>
        <v>142.97999999999999</v>
      </c>
      <c r="L357" s="76"/>
      <c r="M357" s="76"/>
      <c r="N357" s="76"/>
      <c r="O357" s="51"/>
      <c r="R357" s="53">
        <v>56.03</v>
      </c>
    </row>
    <row r="358" spans="1:18" s="56" customFormat="1" ht="24" x14ac:dyDescent="0.2">
      <c r="A358" s="94">
        <v>89590</v>
      </c>
      <c r="B358" s="80">
        <v>43161</v>
      </c>
      <c r="C358" s="74" t="s">
        <v>670</v>
      </c>
      <c r="D358" s="73" t="s">
        <v>102</v>
      </c>
      <c r="E358" s="75">
        <v>2</v>
      </c>
      <c r="F358" s="75"/>
      <c r="G358" s="75"/>
      <c r="H358" s="75">
        <f>ROUND(R358*$R$12,2)</f>
        <v>68.44</v>
      </c>
      <c r="I358" s="75">
        <f>ROUND(H358*(1+$S$1),2)</f>
        <v>87.32</v>
      </c>
      <c r="J358" s="76">
        <f>ROUND(E358*H358,2)</f>
        <v>136.88</v>
      </c>
      <c r="K358" s="76">
        <f>ROUND(E358*I358,2)</f>
        <v>174.64</v>
      </c>
      <c r="L358" s="76"/>
      <c r="M358" s="76"/>
      <c r="N358" s="76"/>
      <c r="O358" s="51"/>
      <c r="R358" s="53">
        <v>68.44</v>
      </c>
    </row>
    <row r="359" spans="1:18" s="56" customFormat="1" ht="12" x14ac:dyDescent="0.2">
      <c r="A359" s="72"/>
      <c r="B359" s="70" t="s">
        <v>671</v>
      </c>
      <c r="C359" s="71" t="s">
        <v>641</v>
      </c>
      <c r="D359" s="72"/>
      <c r="E359" s="72"/>
      <c r="F359" s="72"/>
      <c r="G359" s="72"/>
      <c r="H359" s="75"/>
      <c r="I359" s="72"/>
      <c r="J359" s="72"/>
      <c r="K359" s="72"/>
      <c r="L359" s="72"/>
      <c r="M359" s="72"/>
      <c r="N359" s="72"/>
      <c r="O359" s="52"/>
      <c r="R359" s="52"/>
    </row>
    <row r="360" spans="1:18" s="56" customFormat="1" ht="12" x14ac:dyDescent="0.2">
      <c r="A360" s="94">
        <v>89554</v>
      </c>
      <c r="B360" s="80">
        <v>43191</v>
      </c>
      <c r="C360" s="74" t="s">
        <v>672</v>
      </c>
      <c r="D360" s="73" t="s">
        <v>102</v>
      </c>
      <c r="E360" s="75">
        <v>2</v>
      </c>
      <c r="F360" s="75"/>
      <c r="G360" s="75"/>
      <c r="H360" s="75">
        <f t="shared" ref="H360:H366" si="61">ROUND(R360*$R$12,2)</f>
        <v>12.67</v>
      </c>
      <c r="I360" s="75">
        <f t="shared" ref="I360:I366" si="62">ROUND(H360*(1+$S$1),2)</f>
        <v>16.170000000000002</v>
      </c>
      <c r="J360" s="76">
        <f t="shared" ref="J360:J366" si="63">ROUND(E360*H360,2)</f>
        <v>25.34</v>
      </c>
      <c r="K360" s="76">
        <f t="shared" ref="K360:K366" si="64">ROUND(E360*I360,2)</f>
        <v>32.340000000000003</v>
      </c>
      <c r="L360" s="76"/>
      <c r="M360" s="76"/>
      <c r="N360" s="76"/>
      <c r="O360" s="51"/>
      <c r="R360" s="53">
        <v>12.67</v>
      </c>
    </row>
    <row r="361" spans="1:18" s="56" customFormat="1" ht="12" x14ac:dyDescent="0.2">
      <c r="A361" s="94">
        <v>89677</v>
      </c>
      <c r="B361" s="80">
        <v>43192</v>
      </c>
      <c r="C361" s="74" t="s">
        <v>673</v>
      </c>
      <c r="D361" s="73" t="s">
        <v>102</v>
      </c>
      <c r="E361" s="75">
        <v>5</v>
      </c>
      <c r="F361" s="75"/>
      <c r="G361" s="75"/>
      <c r="H361" s="75">
        <f t="shared" si="61"/>
        <v>34.049999999999997</v>
      </c>
      <c r="I361" s="75">
        <f t="shared" si="62"/>
        <v>43.44</v>
      </c>
      <c r="J361" s="76">
        <f t="shared" si="63"/>
        <v>170.25</v>
      </c>
      <c r="K361" s="76">
        <f t="shared" si="64"/>
        <v>217.2</v>
      </c>
      <c r="L361" s="76"/>
      <c r="M361" s="76"/>
      <c r="N361" s="76"/>
      <c r="O361" s="51"/>
      <c r="R361" s="53">
        <v>34.049999999999997</v>
      </c>
    </row>
    <row r="362" spans="1:18" s="56" customFormat="1" ht="24" x14ac:dyDescent="0.2">
      <c r="A362" s="94">
        <v>3833</v>
      </c>
      <c r="B362" s="80">
        <v>43193</v>
      </c>
      <c r="C362" s="74" t="s">
        <v>674</v>
      </c>
      <c r="D362" s="73" t="s">
        <v>102</v>
      </c>
      <c r="E362" s="75">
        <v>1</v>
      </c>
      <c r="F362" s="75"/>
      <c r="G362" s="75"/>
      <c r="H362" s="75">
        <f t="shared" si="61"/>
        <v>8.4600000000000009</v>
      </c>
      <c r="I362" s="75">
        <f t="shared" si="62"/>
        <v>10.79</v>
      </c>
      <c r="J362" s="76">
        <f t="shared" si="63"/>
        <v>8.4600000000000009</v>
      </c>
      <c r="K362" s="76">
        <f t="shared" si="64"/>
        <v>10.79</v>
      </c>
      <c r="L362" s="76"/>
      <c r="M362" s="76"/>
      <c r="N362" s="76"/>
      <c r="O362" s="51"/>
      <c r="R362" s="53">
        <v>8.4600000000000009</v>
      </c>
    </row>
    <row r="363" spans="1:18" s="56" customFormat="1" ht="24" x14ac:dyDescent="0.2">
      <c r="A363" s="94">
        <v>3835</v>
      </c>
      <c r="B363" s="80">
        <v>43194</v>
      </c>
      <c r="C363" s="74" t="s">
        <v>675</v>
      </c>
      <c r="D363" s="73" t="s">
        <v>102</v>
      </c>
      <c r="E363" s="75">
        <v>1</v>
      </c>
      <c r="F363" s="75"/>
      <c r="G363" s="75"/>
      <c r="H363" s="75">
        <f t="shared" si="61"/>
        <v>18.989999999999998</v>
      </c>
      <c r="I363" s="75">
        <f t="shared" si="62"/>
        <v>24.23</v>
      </c>
      <c r="J363" s="76">
        <f t="shared" si="63"/>
        <v>18.989999999999998</v>
      </c>
      <c r="K363" s="76">
        <f t="shared" si="64"/>
        <v>24.23</v>
      </c>
      <c r="L363" s="76"/>
      <c r="M363" s="76"/>
      <c r="N363" s="76"/>
      <c r="O363" s="51"/>
      <c r="R363" s="53">
        <v>18.989999999999998</v>
      </c>
    </row>
    <row r="364" spans="1:18" s="56" customFormat="1" ht="24" x14ac:dyDescent="0.2">
      <c r="A364" s="94">
        <v>3836</v>
      </c>
      <c r="B364" s="80">
        <v>43195</v>
      </c>
      <c r="C364" s="74" t="s">
        <v>676</v>
      </c>
      <c r="D364" s="73" t="s">
        <v>102</v>
      </c>
      <c r="E364" s="75">
        <v>3</v>
      </c>
      <c r="F364" s="75"/>
      <c r="G364" s="75"/>
      <c r="H364" s="75">
        <f t="shared" si="61"/>
        <v>49.1</v>
      </c>
      <c r="I364" s="75">
        <f t="shared" si="62"/>
        <v>62.65</v>
      </c>
      <c r="J364" s="76">
        <f t="shared" si="63"/>
        <v>147.30000000000001</v>
      </c>
      <c r="K364" s="76">
        <f t="shared" si="64"/>
        <v>187.95</v>
      </c>
      <c r="L364" s="76"/>
      <c r="M364" s="76"/>
      <c r="N364" s="76"/>
      <c r="O364" s="51"/>
      <c r="R364" s="53">
        <v>49.1</v>
      </c>
    </row>
    <row r="365" spans="1:18" s="56" customFormat="1" ht="24" x14ac:dyDescent="0.2">
      <c r="A365" s="94">
        <v>3830</v>
      </c>
      <c r="B365" s="80">
        <v>43196</v>
      </c>
      <c r="C365" s="74" t="s">
        <v>677</v>
      </c>
      <c r="D365" s="73" t="s">
        <v>102</v>
      </c>
      <c r="E365" s="75">
        <v>2</v>
      </c>
      <c r="F365" s="75"/>
      <c r="G365" s="75"/>
      <c r="H365" s="75">
        <f t="shared" si="61"/>
        <v>80.83</v>
      </c>
      <c r="I365" s="75">
        <f t="shared" si="62"/>
        <v>103.13</v>
      </c>
      <c r="J365" s="76">
        <f t="shared" si="63"/>
        <v>161.66</v>
      </c>
      <c r="K365" s="76">
        <f t="shared" si="64"/>
        <v>206.26</v>
      </c>
      <c r="L365" s="76"/>
      <c r="M365" s="76"/>
      <c r="N365" s="76"/>
      <c r="O365" s="51"/>
      <c r="R365" s="53">
        <v>80.83</v>
      </c>
    </row>
    <row r="366" spans="1:18" s="56" customFormat="1" ht="24" x14ac:dyDescent="0.2">
      <c r="A366" s="94">
        <v>3831</v>
      </c>
      <c r="B366" s="80">
        <v>43197</v>
      </c>
      <c r="C366" s="74" t="s">
        <v>678</v>
      </c>
      <c r="D366" s="73" t="s">
        <v>102</v>
      </c>
      <c r="E366" s="75">
        <v>1</v>
      </c>
      <c r="F366" s="75"/>
      <c r="G366" s="75"/>
      <c r="H366" s="75">
        <f t="shared" si="61"/>
        <v>125.22</v>
      </c>
      <c r="I366" s="75">
        <f t="shared" si="62"/>
        <v>159.77000000000001</v>
      </c>
      <c r="J366" s="76">
        <f t="shared" si="63"/>
        <v>125.22</v>
      </c>
      <c r="K366" s="76">
        <f t="shared" si="64"/>
        <v>159.77000000000001</v>
      </c>
      <c r="L366" s="76"/>
      <c r="M366" s="76"/>
      <c r="N366" s="76"/>
      <c r="O366" s="51"/>
      <c r="R366" s="53">
        <v>125.22</v>
      </c>
    </row>
    <row r="367" spans="1:18" s="56" customFormat="1" ht="12" x14ac:dyDescent="0.2">
      <c r="A367" s="72"/>
      <c r="B367" s="70" t="s">
        <v>679</v>
      </c>
      <c r="C367" s="71" t="s">
        <v>680</v>
      </c>
      <c r="D367" s="72"/>
      <c r="E367" s="72"/>
      <c r="F367" s="72"/>
      <c r="G367" s="72"/>
      <c r="H367" s="75"/>
      <c r="I367" s="72"/>
      <c r="J367" s="72"/>
      <c r="K367" s="72"/>
      <c r="L367" s="72"/>
      <c r="M367" s="72"/>
      <c r="N367" s="72"/>
      <c r="O367" s="52"/>
      <c r="R367" s="52"/>
    </row>
    <row r="368" spans="1:18" s="56" customFormat="1" ht="24" x14ac:dyDescent="0.2">
      <c r="A368" s="94">
        <v>38448</v>
      </c>
      <c r="B368" s="80">
        <v>43221</v>
      </c>
      <c r="C368" s="74" t="s">
        <v>681</v>
      </c>
      <c r="D368" s="73" t="s">
        <v>102</v>
      </c>
      <c r="E368" s="75">
        <v>11</v>
      </c>
      <c r="F368" s="75"/>
      <c r="G368" s="75"/>
      <c r="H368" s="75">
        <f>ROUND(R368*$R$12,2)</f>
        <v>149.65</v>
      </c>
      <c r="I368" s="75">
        <f>ROUND(H368*(1+$S$1),2)</f>
        <v>190.94</v>
      </c>
      <c r="J368" s="76">
        <f>ROUND(E368*H368,2)</f>
        <v>1646.15</v>
      </c>
      <c r="K368" s="76">
        <f>ROUND(E368*I368,2)</f>
        <v>2100.34</v>
      </c>
      <c r="L368" s="76"/>
      <c r="M368" s="76"/>
      <c r="N368" s="76"/>
      <c r="O368" s="51"/>
      <c r="R368" s="53">
        <v>149.65</v>
      </c>
    </row>
    <row r="369" spans="1:18" s="56" customFormat="1" ht="24" x14ac:dyDescent="0.2">
      <c r="A369" s="94">
        <v>20183</v>
      </c>
      <c r="B369" s="80">
        <v>43222</v>
      </c>
      <c r="C369" s="74" t="s">
        <v>682</v>
      </c>
      <c r="D369" s="73" t="s">
        <v>102</v>
      </c>
      <c r="E369" s="75">
        <v>1</v>
      </c>
      <c r="F369" s="75"/>
      <c r="G369" s="75"/>
      <c r="H369" s="75">
        <f>ROUND(R369*$R$12,2)</f>
        <v>28.2</v>
      </c>
      <c r="I369" s="75">
        <f>ROUND(H369*(1+$S$1),2)</f>
        <v>35.979999999999997</v>
      </c>
      <c r="J369" s="76">
        <f>ROUND(E369*H369,2)</f>
        <v>28.2</v>
      </c>
      <c r="K369" s="76">
        <f>ROUND(E369*I369,2)</f>
        <v>35.979999999999997</v>
      </c>
      <c r="L369" s="76"/>
      <c r="M369" s="76"/>
      <c r="N369" s="76"/>
      <c r="O369" s="51"/>
      <c r="R369" s="53">
        <v>28.2</v>
      </c>
    </row>
    <row r="370" spans="1:18" s="56" customFormat="1" ht="12" x14ac:dyDescent="0.2">
      <c r="A370" s="72"/>
      <c r="B370" s="71"/>
      <c r="C370" s="71"/>
      <c r="D370" s="71"/>
      <c r="E370" s="71"/>
      <c r="F370" s="71"/>
      <c r="G370" s="71"/>
      <c r="H370" s="75"/>
      <c r="I370" s="77" t="s">
        <v>683</v>
      </c>
      <c r="J370" s="78">
        <f>SUM(J347:J369)</f>
        <v>14342.399999999998</v>
      </c>
      <c r="K370" s="78">
        <f>SUM(K347:K369)</f>
        <v>18298.899999999998</v>
      </c>
      <c r="L370" s="78"/>
      <c r="M370" s="78"/>
      <c r="N370" s="78"/>
      <c r="O370" s="60"/>
      <c r="R370" s="59"/>
    </row>
    <row r="371" spans="1:18" s="56" customFormat="1" ht="12" x14ac:dyDescent="0.2">
      <c r="A371" s="72"/>
      <c r="B371" s="83">
        <v>19</v>
      </c>
      <c r="C371" s="71" t="s">
        <v>684</v>
      </c>
      <c r="D371" s="72"/>
      <c r="E371" s="72"/>
      <c r="F371" s="72"/>
      <c r="G371" s="72"/>
      <c r="H371" s="75"/>
      <c r="I371" s="72"/>
      <c r="J371" s="72"/>
      <c r="K371" s="72"/>
      <c r="L371" s="72"/>
      <c r="M371" s="72"/>
      <c r="N371" s="72"/>
      <c r="O371" s="52"/>
      <c r="R371" s="52"/>
    </row>
    <row r="372" spans="1:18" s="56" customFormat="1" ht="12" x14ac:dyDescent="0.2">
      <c r="A372" s="72"/>
      <c r="B372" s="70" t="s">
        <v>685</v>
      </c>
      <c r="C372" s="71" t="s">
        <v>686</v>
      </c>
      <c r="D372" s="72"/>
      <c r="E372" s="72"/>
      <c r="F372" s="72"/>
      <c r="G372" s="72"/>
      <c r="H372" s="75"/>
      <c r="I372" s="72"/>
      <c r="J372" s="72"/>
      <c r="K372" s="72"/>
      <c r="L372" s="72"/>
      <c r="M372" s="72"/>
      <c r="N372" s="72"/>
      <c r="O372" s="52"/>
      <c r="R372" s="52"/>
    </row>
    <row r="373" spans="1:18" s="56" customFormat="1" ht="12" x14ac:dyDescent="0.2">
      <c r="A373" s="73" t="s">
        <v>687</v>
      </c>
      <c r="B373" s="80">
        <v>43466</v>
      </c>
      <c r="C373" s="74" t="s">
        <v>688</v>
      </c>
      <c r="D373" s="73" t="s">
        <v>102</v>
      </c>
      <c r="E373" s="75">
        <v>11</v>
      </c>
      <c r="F373" s="75"/>
      <c r="G373" s="75"/>
      <c r="H373" s="75">
        <f>ROUND(R373*$R$12,2)</f>
        <v>45.06</v>
      </c>
      <c r="I373" s="75">
        <f>ROUND(H373*(1+$S$1),2)</f>
        <v>57.49</v>
      </c>
      <c r="J373" s="76">
        <f>ROUND(E373*H373,2)</f>
        <v>495.66</v>
      </c>
      <c r="K373" s="76">
        <f>ROUND(E373*I373,2)</f>
        <v>632.39</v>
      </c>
      <c r="L373" s="76"/>
      <c r="M373" s="76"/>
      <c r="N373" s="76"/>
      <c r="O373" s="51"/>
      <c r="R373" s="53">
        <v>45.06</v>
      </c>
    </row>
    <row r="374" spans="1:18" s="56" customFormat="1" ht="12" x14ac:dyDescent="0.2">
      <c r="A374" s="73" t="s">
        <v>689</v>
      </c>
      <c r="B374" s="80">
        <v>43467</v>
      </c>
      <c r="C374" s="74" t="s">
        <v>690</v>
      </c>
      <c r="D374" s="73" t="s">
        <v>102</v>
      </c>
      <c r="E374" s="75">
        <v>1</v>
      </c>
      <c r="F374" s="75"/>
      <c r="G374" s="75"/>
      <c r="H374" s="75">
        <f>ROUND(R374*$R$12,2)</f>
        <v>26.35</v>
      </c>
      <c r="I374" s="75">
        <f>ROUND(H374*(1+$S$1),2)</f>
        <v>33.619999999999997</v>
      </c>
      <c r="J374" s="76">
        <f>ROUND(E374*H374,2)</f>
        <v>26.35</v>
      </c>
      <c r="K374" s="76">
        <f>ROUND(E374*I374,2)</f>
        <v>33.619999999999997</v>
      </c>
      <c r="L374" s="76"/>
      <c r="M374" s="76"/>
      <c r="N374" s="76"/>
      <c r="O374" s="51"/>
      <c r="R374" s="53">
        <v>26.35</v>
      </c>
    </row>
    <row r="375" spans="1:18" s="56" customFormat="1" ht="12" x14ac:dyDescent="0.2">
      <c r="A375" s="72"/>
      <c r="B375" s="70" t="s">
        <v>691</v>
      </c>
      <c r="C375" s="71" t="s">
        <v>692</v>
      </c>
      <c r="D375" s="72"/>
      <c r="E375" s="72"/>
      <c r="F375" s="72"/>
      <c r="G375" s="72"/>
      <c r="H375" s="75"/>
      <c r="I375" s="72"/>
      <c r="J375" s="72"/>
      <c r="K375" s="72"/>
      <c r="L375" s="72"/>
      <c r="M375" s="72"/>
      <c r="N375" s="72"/>
      <c r="O375" s="52"/>
      <c r="R375" s="52"/>
    </row>
    <row r="376" spans="1:18" s="56" customFormat="1" ht="24" x14ac:dyDescent="0.2">
      <c r="A376" s="73" t="s">
        <v>693</v>
      </c>
      <c r="B376" s="80">
        <v>43497</v>
      </c>
      <c r="C376" s="74" t="s">
        <v>694</v>
      </c>
      <c r="D376" s="73" t="s">
        <v>102</v>
      </c>
      <c r="E376" s="75">
        <v>9</v>
      </c>
      <c r="F376" s="75"/>
      <c r="G376" s="75"/>
      <c r="H376" s="75">
        <f>ROUND(R376*$R$12,2)</f>
        <v>226.16</v>
      </c>
      <c r="I376" s="75">
        <f>ROUND(H376*(1+$S$1),2)</f>
        <v>288.56</v>
      </c>
      <c r="J376" s="76">
        <f>ROUND(E376*H376,2)</f>
        <v>2035.44</v>
      </c>
      <c r="K376" s="76">
        <f>ROUND(E376*I376,2)</f>
        <v>2597.04</v>
      </c>
      <c r="L376" s="76"/>
      <c r="M376" s="76"/>
      <c r="N376" s="76"/>
      <c r="O376" s="51"/>
      <c r="R376" s="53">
        <v>226.16</v>
      </c>
    </row>
    <row r="377" spans="1:18" s="56" customFormat="1" ht="12" x14ac:dyDescent="0.2">
      <c r="A377" s="94">
        <v>6171</v>
      </c>
      <c r="B377" s="80">
        <v>43498</v>
      </c>
      <c r="C377" s="74" t="s">
        <v>695</v>
      </c>
      <c r="D377" s="73" t="s">
        <v>102</v>
      </c>
      <c r="E377" s="75">
        <v>9</v>
      </c>
      <c r="F377" s="75"/>
      <c r="G377" s="75"/>
      <c r="H377" s="75">
        <f>ROUND(R377*$R$12,2)</f>
        <v>21.74</v>
      </c>
      <c r="I377" s="75">
        <f>ROUND(H377*(1+$S$1),2)</f>
        <v>27.74</v>
      </c>
      <c r="J377" s="76">
        <f>ROUND(E377*H377,2)</f>
        <v>195.66</v>
      </c>
      <c r="K377" s="76">
        <f>ROUND(E377*I377,2)</f>
        <v>249.66</v>
      </c>
      <c r="L377" s="76"/>
      <c r="M377" s="76"/>
      <c r="N377" s="76"/>
      <c r="O377" s="51"/>
      <c r="R377" s="53">
        <v>21.74</v>
      </c>
    </row>
    <row r="378" spans="1:18" s="56" customFormat="1" ht="12" x14ac:dyDescent="0.2">
      <c r="A378" s="73" t="s">
        <v>696</v>
      </c>
      <c r="B378" s="80">
        <v>43499</v>
      </c>
      <c r="C378" s="74" t="s">
        <v>697</v>
      </c>
      <c r="D378" s="73" t="s">
        <v>102</v>
      </c>
      <c r="E378" s="75">
        <v>5</v>
      </c>
      <c r="F378" s="75"/>
      <c r="G378" s="75"/>
      <c r="H378" s="75">
        <f>ROUND(R378*$R$12,2)</f>
        <v>165.35</v>
      </c>
      <c r="I378" s="75">
        <f>ROUND(H378*(1+$S$1),2)</f>
        <v>210.97</v>
      </c>
      <c r="J378" s="76">
        <f>ROUND(E378*H378,2)</f>
        <v>826.75</v>
      </c>
      <c r="K378" s="76">
        <f>ROUND(E378*I378,2)</f>
        <v>1054.8499999999999</v>
      </c>
      <c r="L378" s="76"/>
      <c r="M378" s="76"/>
      <c r="N378" s="76"/>
      <c r="O378" s="51"/>
      <c r="R378" s="53">
        <v>165.35</v>
      </c>
    </row>
    <row r="379" spans="1:18" s="56" customFormat="1" ht="12" x14ac:dyDescent="0.2">
      <c r="A379" s="73" t="s">
        <v>698</v>
      </c>
      <c r="B379" s="80">
        <v>43500</v>
      </c>
      <c r="C379" s="74" t="s">
        <v>699</v>
      </c>
      <c r="D379" s="73" t="s">
        <v>102</v>
      </c>
      <c r="E379" s="75">
        <v>5</v>
      </c>
      <c r="F379" s="75"/>
      <c r="G379" s="75"/>
      <c r="H379" s="75">
        <f>ROUND(R379*$R$12,2)</f>
        <v>112.26</v>
      </c>
      <c r="I379" s="75">
        <f>ROUND(H379*(1+$S$1),2)</f>
        <v>143.22999999999999</v>
      </c>
      <c r="J379" s="76">
        <f>ROUND(E379*H379,2)</f>
        <v>561.29999999999995</v>
      </c>
      <c r="K379" s="76">
        <f>ROUND(E379*I379,2)</f>
        <v>716.15</v>
      </c>
      <c r="L379" s="76"/>
      <c r="M379" s="76"/>
      <c r="N379" s="76"/>
      <c r="O379" s="51"/>
      <c r="R379" s="53">
        <v>112.26</v>
      </c>
    </row>
    <row r="380" spans="1:18" s="56" customFormat="1" ht="12" x14ac:dyDescent="0.2">
      <c r="A380" s="73" t="s">
        <v>700</v>
      </c>
      <c r="B380" s="80">
        <v>43501</v>
      </c>
      <c r="C380" s="74" t="s">
        <v>701</v>
      </c>
      <c r="D380" s="73" t="s">
        <v>102</v>
      </c>
      <c r="E380" s="75">
        <v>2</v>
      </c>
      <c r="F380" s="75"/>
      <c r="G380" s="75"/>
      <c r="H380" s="75">
        <f>ROUND(R380*$R$12,2)</f>
        <v>171</v>
      </c>
      <c r="I380" s="75">
        <f>ROUND(H380*(1+$S$1),2)</f>
        <v>218.18</v>
      </c>
      <c r="J380" s="76">
        <f>ROUND(E380*H380,2)</f>
        <v>342</v>
      </c>
      <c r="K380" s="76">
        <f>ROUND(E380*I380,2)</f>
        <v>436.36</v>
      </c>
      <c r="L380" s="76"/>
      <c r="M380" s="76"/>
      <c r="N380" s="76"/>
      <c r="O380" s="51"/>
      <c r="R380" s="53">
        <v>171</v>
      </c>
    </row>
    <row r="381" spans="1:18" s="56" customFormat="1" ht="12" x14ac:dyDescent="0.2">
      <c r="A381" s="72"/>
      <c r="B381" s="70" t="s">
        <v>702</v>
      </c>
      <c r="C381" s="71" t="s">
        <v>703</v>
      </c>
      <c r="D381" s="72"/>
      <c r="E381" s="72"/>
      <c r="F381" s="72"/>
      <c r="G381" s="72"/>
      <c r="H381" s="75"/>
      <c r="I381" s="72"/>
      <c r="J381" s="72"/>
      <c r="K381" s="72"/>
      <c r="L381" s="72"/>
      <c r="M381" s="72"/>
      <c r="N381" s="72"/>
      <c r="O381" s="52"/>
      <c r="R381" s="52"/>
    </row>
    <row r="382" spans="1:18" s="56" customFormat="1" ht="24" x14ac:dyDescent="0.2">
      <c r="A382" s="73" t="s">
        <v>704</v>
      </c>
      <c r="B382" s="80">
        <v>43525</v>
      </c>
      <c r="C382" s="74" t="s">
        <v>705</v>
      </c>
      <c r="D382" s="73" t="s">
        <v>102</v>
      </c>
      <c r="E382" s="75">
        <v>1</v>
      </c>
      <c r="F382" s="75"/>
      <c r="G382" s="75"/>
      <c r="H382" s="75">
        <f>ROUND(R382*$R$12,2)</f>
        <v>1880.53</v>
      </c>
      <c r="I382" s="75">
        <f>ROUND(H382*(1+$S$1),2)</f>
        <v>2399.37</v>
      </c>
      <c r="J382" s="76">
        <f>ROUND(E382*H382,2)</f>
        <v>1880.53</v>
      </c>
      <c r="K382" s="76">
        <f>ROUND(E382*I382,2)</f>
        <v>2399.37</v>
      </c>
      <c r="L382" s="76"/>
      <c r="M382" s="76"/>
      <c r="N382" s="76"/>
      <c r="O382" s="51"/>
      <c r="R382" s="51">
        <v>1880.53</v>
      </c>
    </row>
    <row r="383" spans="1:18" s="56" customFormat="1" ht="12" x14ac:dyDescent="0.2">
      <c r="A383" s="94">
        <v>6171</v>
      </c>
      <c r="B383" s="80">
        <v>43526</v>
      </c>
      <c r="C383" s="74" t="s">
        <v>706</v>
      </c>
      <c r="D383" s="73" t="s">
        <v>102</v>
      </c>
      <c r="E383" s="75">
        <v>1</v>
      </c>
      <c r="F383" s="75"/>
      <c r="G383" s="75"/>
      <c r="H383" s="75">
        <f>ROUND(R383*$R$12,2)</f>
        <v>21.74</v>
      </c>
      <c r="I383" s="75">
        <f>ROUND(H383*(1+$S$1),2)</f>
        <v>27.74</v>
      </c>
      <c r="J383" s="76">
        <f>ROUND(E383*H383,2)</f>
        <v>21.74</v>
      </c>
      <c r="K383" s="76">
        <f>ROUND(E383*I383,2)</f>
        <v>27.74</v>
      </c>
      <c r="L383" s="76"/>
      <c r="M383" s="76"/>
      <c r="N383" s="76"/>
      <c r="O383" s="51"/>
      <c r="R383" s="53">
        <v>21.74</v>
      </c>
    </row>
    <row r="384" spans="1:18" s="56" customFormat="1" ht="12" x14ac:dyDescent="0.2">
      <c r="A384" s="72"/>
      <c r="B384" s="70" t="s">
        <v>707</v>
      </c>
      <c r="C384" s="71" t="s">
        <v>708</v>
      </c>
      <c r="D384" s="72"/>
      <c r="E384" s="72"/>
      <c r="F384" s="72"/>
      <c r="G384" s="72"/>
      <c r="H384" s="75"/>
      <c r="I384" s="72"/>
      <c r="J384" s="72"/>
      <c r="K384" s="72"/>
      <c r="L384" s="72"/>
      <c r="M384" s="72"/>
      <c r="N384" s="72"/>
      <c r="O384" s="52"/>
      <c r="R384" s="52"/>
    </row>
    <row r="385" spans="1:18" s="56" customFormat="1" ht="24" x14ac:dyDescent="0.2">
      <c r="A385" s="94">
        <v>1332</v>
      </c>
      <c r="B385" s="80">
        <v>43556</v>
      </c>
      <c r="C385" s="74" t="s">
        <v>709</v>
      </c>
      <c r="D385" s="73" t="s">
        <v>102</v>
      </c>
      <c r="E385" s="75">
        <v>5</v>
      </c>
      <c r="F385" s="75"/>
      <c r="G385" s="75"/>
      <c r="H385" s="75">
        <f>ROUND(R385*$R$12,2)</f>
        <v>7.59</v>
      </c>
      <c r="I385" s="75">
        <f>ROUND(H385*(1+$S$1),2)</f>
        <v>9.68</v>
      </c>
      <c r="J385" s="76">
        <f>ROUND(E385*H385,2)</f>
        <v>37.950000000000003</v>
      </c>
      <c r="K385" s="76">
        <f>ROUND(E385*I385,2)</f>
        <v>48.4</v>
      </c>
      <c r="L385" s="76"/>
      <c r="M385" s="76"/>
      <c r="N385" s="76"/>
      <c r="O385" s="51"/>
      <c r="R385" s="53">
        <v>7.59</v>
      </c>
    </row>
    <row r="386" spans="1:18" s="56" customFormat="1" ht="12" x14ac:dyDescent="0.2">
      <c r="A386" s="72"/>
      <c r="B386" s="70" t="s">
        <v>710</v>
      </c>
      <c r="C386" s="71" t="s">
        <v>711</v>
      </c>
      <c r="D386" s="72"/>
      <c r="E386" s="72"/>
      <c r="F386" s="72"/>
      <c r="G386" s="72"/>
      <c r="H386" s="75"/>
      <c r="I386" s="72"/>
      <c r="J386" s="72"/>
      <c r="K386" s="72"/>
      <c r="L386" s="72"/>
      <c r="M386" s="72"/>
      <c r="N386" s="72"/>
      <c r="O386" s="52"/>
      <c r="R386" s="52"/>
    </row>
    <row r="387" spans="1:18" s="56" customFormat="1" ht="12" x14ac:dyDescent="0.2">
      <c r="A387" s="73" t="s">
        <v>712</v>
      </c>
      <c r="B387" s="80">
        <v>43586</v>
      </c>
      <c r="C387" s="74" t="s">
        <v>713</v>
      </c>
      <c r="D387" s="73" t="s">
        <v>81</v>
      </c>
      <c r="E387" s="75">
        <v>8</v>
      </c>
      <c r="F387" s="75"/>
      <c r="G387" s="75"/>
      <c r="H387" s="75">
        <f>ROUND(R387*$R$12,2)</f>
        <v>267.89</v>
      </c>
      <c r="I387" s="75">
        <f>ROUND(H387*(1+$S$1),2)</f>
        <v>341.8</v>
      </c>
      <c r="J387" s="76">
        <f>ROUND(E387*H387,2)</f>
        <v>2143.12</v>
      </c>
      <c r="K387" s="76">
        <f>ROUND(E387*I387,2)</f>
        <v>2734.4</v>
      </c>
      <c r="L387" s="76"/>
      <c r="M387" s="76"/>
      <c r="N387" s="76"/>
      <c r="O387" s="51"/>
      <c r="R387" s="53">
        <v>267.89</v>
      </c>
    </row>
    <row r="388" spans="1:18" s="56" customFormat="1" ht="12" x14ac:dyDescent="0.2">
      <c r="A388" s="73" t="s">
        <v>714</v>
      </c>
      <c r="B388" s="80">
        <v>43587</v>
      </c>
      <c r="C388" s="74" t="s">
        <v>715</v>
      </c>
      <c r="D388" s="73" t="s">
        <v>81</v>
      </c>
      <c r="E388" s="75">
        <v>2</v>
      </c>
      <c r="F388" s="75"/>
      <c r="G388" s="75"/>
      <c r="H388" s="75">
        <f>ROUND(R388*$R$12,2)</f>
        <v>57.59</v>
      </c>
      <c r="I388" s="75">
        <f>ROUND(H388*(1+$S$1),2)</f>
        <v>73.48</v>
      </c>
      <c r="J388" s="76">
        <f>ROUND(E388*H388,2)</f>
        <v>115.18</v>
      </c>
      <c r="K388" s="76">
        <f>ROUND(E388*I388,2)</f>
        <v>146.96</v>
      </c>
      <c r="L388" s="76"/>
      <c r="M388" s="76"/>
      <c r="N388" s="76"/>
      <c r="O388" s="51"/>
      <c r="R388" s="53">
        <v>57.59</v>
      </c>
    </row>
    <row r="389" spans="1:18" s="56" customFormat="1" ht="12" x14ac:dyDescent="0.2">
      <c r="A389" s="72"/>
      <c r="B389" s="71"/>
      <c r="C389" s="71"/>
      <c r="D389" s="71"/>
      <c r="E389" s="71"/>
      <c r="F389" s="71"/>
      <c r="G389" s="71"/>
      <c r="H389" s="75"/>
      <c r="I389" s="77" t="s">
        <v>716</v>
      </c>
      <c r="J389" s="78">
        <f>SUM(J373:J388)</f>
        <v>8681.68</v>
      </c>
      <c r="K389" s="78">
        <f>SUM(K373:K388)</f>
        <v>11076.939999999997</v>
      </c>
      <c r="L389" s="78"/>
      <c r="M389" s="78"/>
      <c r="N389" s="78"/>
      <c r="O389" s="60"/>
      <c r="R389" s="59"/>
    </row>
    <row r="390" spans="1:18" s="56" customFormat="1" ht="12" x14ac:dyDescent="0.2">
      <c r="A390" s="72"/>
      <c r="B390" s="70" t="s">
        <v>717</v>
      </c>
      <c r="C390" s="71" t="s">
        <v>718</v>
      </c>
      <c r="D390" s="72"/>
      <c r="E390" s="72"/>
      <c r="F390" s="72"/>
      <c r="G390" s="72"/>
      <c r="H390" s="75"/>
      <c r="I390" s="72"/>
      <c r="J390" s="72"/>
      <c r="K390" s="72"/>
      <c r="L390" s="72"/>
      <c r="M390" s="72"/>
      <c r="N390" s="72"/>
      <c r="O390" s="52"/>
      <c r="R390" s="52"/>
    </row>
    <row r="391" spans="1:18" s="56" customFormat="1" ht="12" x14ac:dyDescent="0.2">
      <c r="A391" s="72"/>
      <c r="B391" s="70" t="s">
        <v>719</v>
      </c>
      <c r="C391" s="71" t="s">
        <v>626</v>
      </c>
      <c r="D391" s="72"/>
      <c r="E391" s="72"/>
      <c r="F391" s="72"/>
      <c r="G391" s="72"/>
      <c r="H391" s="75"/>
      <c r="I391" s="72"/>
      <c r="J391" s="72"/>
      <c r="K391" s="72"/>
      <c r="L391" s="72"/>
      <c r="M391" s="72"/>
      <c r="N391" s="72"/>
      <c r="O391" s="52"/>
      <c r="R391" s="52"/>
    </row>
    <row r="392" spans="1:18" s="56" customFormat="1" ht="12" x14ac:dyDescent="0.2">
      <c r="A392" s="94">
        <v>89580</v>
      </c>
      <c r="B392" s="80">
        <v>43831</v>
      </c>
      <c r="C392" s="74" t="s">
        <v>720</v>
      </c>
      <c r="D392" s="73" t="s">
        <v>81</v>
      </c>
      <c r="E392" s="75">
        <v>204</v>
      </c>
      <c r="F392" s="75"/>
      <c r="G392" s="75"/>
      <c r="H392" s="75">
        <f>ROUND(R392*$R$12,2)</f>
        <v>38.24</v>
      </c>
      <c r="I392" s="75">
        <f>ROUND(H392*(1+$S$1),2)</f>
        <v>48.79</v>
      </c>
      <c r="J392" s="76">
        <f>ROUND(E392*H392,2)</f>
        <v>7800.96</v>
      </c>
      <c r="K392" s="76">
        <f>ROUND(E392*I392,2)</f>
        <v>9953.16</v>
      </c>
      <c r="L392" s="76"/>
      <c r="M392" s="76"/>
      <c r="N392" s="76"/>
      <c r="O392" s="51"/>
      <c r="R392" s="53">
        <v>38.24</v>
      </c>
    </row>
    <row r="393" spans="1:18" s="56" customFormat="1" ht="12" x14ac:dyDescent="0.2">
      <c r="A393" s="73" t="s">
        <v>721</v>
      </c>
      <c r="B393" s="80">
        <v>43832</v>
      </c>
      <c r="C393" s="74" t="s">
        <v>722</v>
      </c>
      <c r="D393" s="73" t="s">
        <v>81</v>
      </c>
      <c r="E393" s="75">
        <v>108</v>
      </c>
      <c r="F393" s="75"/>
      <c r="G393" s="75"/>
      <c r="H393" s="75">
        <f>ROUND(R393*$R$12,2)</f>
        <v>31.84</v>
      </c>
      <c r="I393" s="75">
        <f>ROUND(H393*(1+$S$1),2)</f>
        <v>40.619999999999997</v>
      </c>
      <c r="J393" s="76">
        <f>ROUND(E393*H393,2)</f>
        <v>3438.72</v>
      </c>
      <c r="K393" s="76">
        <f>ROUND(E393*I393,2)</f>
        <v>4386.96</v>
      </c>
      <c r="L393" s="76"/>
      <c r="M393" s="76"/>
      <c r="N393" s="76"/>
      <c r="O393" s="51"/>
      <c r="R393" s="53">
        <v>31.84</v>
      </c>
    </row>
    <row r="394" spans="1:18" s="56" customFormat="1" ht="12" x14ac:dyDescent="0.2">
      <c r="A394" s="94">
        <v>89511</v>
      </c>
      <c r="B394" s="80">
        <v>43833</v>
      </c>
      <c r="C394" s="74" t="s">
        <v>723</v>
      </c>
      <c r="D394" s="73" t="s">
        <v>81</v>
      </c>
      <c r="E394" s="75">
        <v>120</v>
      </c>
      <c r="F394" s="75"/>
      <c r="G394" s="75"/>
      <c r="H394" s="75">
        <f>ROUND(R394*$R$12,2)</f>
        <v>24.3</v>
      </c>
      <c r="I394" s="75">
        <f>ROUND(H394*(1+$S$1),2)</f>
        <v>31</v>
      </c>
      <c r="J394" s="76">
        <f>ROUND(E394*H394,2)</f>
        <v>2916</v>
      </c>
      <c r="K394" s="76">
        <f>ROUND(E394*I394,2)</f>
        <v>3720</v>
      </c>
      <c r="L394" s="76"/>
      <c r="M394" s="76"/>
      <c r="N394" s="76"/>
      <c r="O394" s="51"/>
      <c r="R394" s="53">
        <v>24.3</v>
      </c>
    </row>
    <row r="395" spans="1:18" s="56" customFormat="1" ht="12" x14ac:dyDescent="0.2">
      <c r="A395" s="94">
        <v>89509</v>
      </c>
      <c r="B395" s="80">
        <v>43834</v>
      </c>
      <c r="C395" s="74" t="s">
        <v>724</v>
      </c>
      <c r="D395" s="73" t="s">
        <v>81</v>
      </c>
      <c r="E395" s="75">
        <v>210</v>
      </c>
      <c r="F395" s="75"/>
      <c r="G395" s="75"/>
      <c r="H395" s="75">
        <f>ROUND(R395*$R$12,2)</f>
        <v>16.3</v>
      </c>
      <c r="I395" s="75">
        <f>ROUND(H395*(1+$S$1),2)</f>
        <v>20.8</v>
      </c>
      <c r="J395" s="76">
        <f>ROUND(E395*H395,2)</f>
        <v>3423</v>
      </c>
      <c r="K395" s="76">
        <f>ROUND(E395*I395,2)</f>
        <v>4368</v>
      </c>
      <c r="L395" s="76"/>
      <c r="M395" s="76"/>
      <c r="N395" s="76"/>
      <c r="O395" s="51"/>
      <c r="R395" s="53">
        <v>16.3</v>
      </c>
    </row>
    <row r="396" spans="1:18" s="56" customFormat="1" ht="12" x14ac:dyDescent="0.2">
      <c r="A396" s="94">
        <v>89508</v>
      </c>
      <c r="B396" s="80">
        <v>43835</v>
      </c>
      <c r="C396" s="74" t="s">
        <v>725</v>
      </c>
      <c r="D396" s="73" t="s">
        <v>81</v>
      </c>
      <c r="E396" s="75">
        <v>102</v>
      </c>
      <c r="F396" s="75"/>
      <c r="G396" s="75"/>
      <c r="H396" s="75">
        <f>ROUND(R396*$R$12,2)</f>
        <v>11.22</v>
      </c>
      <c r="I396" s="75">
        <f>ROUND(H396*(1+$S$1),2)</f>
        <v>14.32</v>
      </c>
      <c r="J396" s="76">
        <f>ROUND(E396*H396,2)</f>
        <v>1144.44</v>
      </c>
      <c r="K396" s="76">
        <f>ROUND(E396*I396,2)</f>
        <v>1460.64</v>
      </c>
      <c r="L396" s="76"/>
      <c r="M396" s="76"/>
      <c r="N396" s="76"/>
      <c r="O396" s="51"/>
      <c r="R396" s="53">
        <v>11.22</v>
      </c>
    </row>
    <row r="397" spans="1:18" s="56" customFormat="1" ht="12" x14ac:dyDescent="0.2">
      <c r="A397" s="72"/>
      <c r="B397" s="70" t="s">
        <v>726</v>
      </c>
      <c r="C397" s="71" t="s">
        <v>727</v>
      </c>
      <c r="D397" s="72"/>
      <c r="E397" s="72"/>
      <c r="F397" s="72"/>
      <c r="G397" s="72"/>
      <c r="H397" s="75"/>
      <c r="I397" s="72"/>
      <c r="J397" s="72"/>
      <c r="K397" s="72"/>
      <c r="L397" s="72"/>
      <c r="M397" s="72"/>
      <c r="N397" s="72"/>
      <c r="O397" s="52"/>
      <c r="R397" s="52"/>
    </row>
    <row r="398" spans="1:18" s="56" customFormat="1" ht="24" x14ac:dyDescent="0.2">
      <c r="A398" s="73" t="s">
        <v>728</v>
      </c>
      <c r="B398" s="80">
        <v>43862</v>
      </c>
      <c r="C398" s="74" t="s">
        <v>729</v>
      </c>
      <c r="D398" s="73" t="s">
        <v>102</v>
      </c>
      <c r="E398" s="75">
        <v>2</v>
      </c>
      <c r="F398" s="75"/>
      <c r="G398" s="75"/>
      <c r="H398" s="75">
        <f>ROUND(R398*$R$12,2)</f>
        <v>11.18</v>
      </c>
      <c r="I398" s="75">
        <f>ROUND(H398*(1+$S$1),2)</f>
        <v>14.26</v>
      </c>
      <c r="J398" s="76">
        <f>ROUND(E398*H398,2)</f>
        <v>22.36</v>
      </c>
      <c r="K398" s="76">
        <f>ROUND(E398*I398,2)</f>
        <v>28.52</v>
      </c>
      <c r="L398" s="76"/>
      <c r="M398" s="76"/>
      <c r="N398" s="76"/>
      <c r="O398" s="51"/>
      <c r="R398" s="53">
        <v>11.18</v>
      </c>
    </row>
    <row r="399" spans="1:18" s="56" customFormat="1" ht="12" x14ac:dyDescent="0.2">
      <c r="A399" s="72"/>
      <c r="B399" s="70" t="s">
        <v>730</v>
      </c>
      <c r="C399" s="71" t="s">
        <v>635</v>
      </c>
      <c r="D399" s="72"/>
      <c r="E399" s="72"/>
      <c r="F399" s="72"/>
      <c r="G399" s="72"/>
      <c r="H399" s="75"/>
      <c r="I399" s="72"/>
      <c r="J399" s="72"/>
      <c r="K399" s="75">
        <v>0</v>
      </c>
      <c r="L399" s="75"/>
      <c r="M399" s="75"/>
      <c r="N399" s="75"/>
      <c r="O399" s="53"/>
      <c r="R399" s="52"/>
    </row>
    <row r="400" spans="1:18" s="56" customFormat="1" ht="12" x14ac:dyDescent="0.2">
      <c r="A400" s="94">
        <v>20151</v>
      </c>
      <c r="B400" s="80">
        <v>43891</v>
      </c>
      <c r="C400" s="74" t="s">
        <v>731</v>
      </c>
      <c r="D400" s="73" t="s">
        <v>102</v>
      </c>
      <c r="E400" s="75">
        <v>11</v>
      </c>
      <c r="F400" s="75"/>
      <c r="G400" s="75"/>
      <c r="H400" s="75">
        <f t="shared" ref="H400:H407" si="65">ROUND(R400*$R$12,2)</f>
        <v>15.18</v>
      </c>
      <c r="I400" s="75">
        <f t="shared" ref="I400:I407" si="66">ROUND(H400*(1+$S$1),2)</f>
        <v>19.37</v>
      </c>
      <c r="J400" s="76">
        <f t="shared" ref="J400:J407" si="67">ROUND(E400*H400,2)</f>
        <v>166.98</v>
      </c>
      <c r="K400" s="76">
        <f t="shared" ref="K400:K407" si="68">ROUND(E400*I400,2)</f>
        <v>213.07</v>
      </c>
      <c r="L400" s="76"/>
      <c r="M400" s="76"/>
      <c r="N400" s="76"/>
      <c r="O400" s="51"/>
      <c r="R400" s="53">
        <v>15.18</v>
      </c>
    </row>
    <row r="401" spans="1:18" s="56" customFormat="1" ht="12" x14ac:dyDescent="0.2">
      <c r="A401" s="94">
        <v>20150</v>
      </c>
      <c r="B401" s="80">
        <v>43892</v>
      </c>
      <c r="C401" s="74" t="s">
        <v>732</v>
      </c>
      <c r="D401" s="73" t="s">
        <v>102</v>
      </c>
      <c r="E401" s="75">
        <v>18</v>
      </c>
      <c r="F401" s="75"/>
      <c r="G401" s="75"/>
      <c r="H401" s="75">
        <f t="shared" si="65"/>
        <v>11.04</v>
      </c>
      <c r="I401" s="75">
        <f t="shared" si="66"/>
        <v>14.09</v>
      </c>
      <c r="J401" s="76">
        <f t="shared" si="67"/>
        <v>198.72</v>
      </c>
      <c r="K401" s="76">
        <f t="shared" si="68"/>
        <v>253.62</v>
      </c>
      <c r="L401" s="76"/>
      <c r="M401" s="76"/>
      <c r="N401" s="76"/>
      <c r="O401" s="51"/>
      <c r="R401" s="53">
        <v>11.04</v>
      </c>
    </row>
    <row r="402" spans="1:18" s="56" customFormat="1" ht="12" x14ac:dyDescent="0.2">
      <c r="A402" s="94">
        <v>20149</v>
      </c>
      <c r="B402" s="80">
        <v>43893</v>
      </c>
      <c r="C402" s="74" t="s">
        <v>733</v>
      </c>
      <c r="D402" s="73" t="s">
        <v>102</v>
      </c>
      <c r="E402" s="75">
        <v>13</v>
      </c>
      <c r="F402" s="75"/>
      <c r="G402" s="75"/>
      <c r="H402" s="75">
        <f t="shared" si="65"/>
        <v>4.2</v>
      </c>
      <c r="I402" s="75">
        <f t="shared" si="66"/>
        <v>5.36</v>
      </c>
      <c r="J402" s="76">
        <f t="shared" si="67"/>
        <v>54.6</v>
      </c>
      <c r="K402" s="76">
        <f t="shared" si="68"/>
        <v>69.680000000000007</v>
      </c>
      <c r="L402" s="76"/>
      <c r="M402" s="76"/>
      <c r="N402" s="76"/>
      <c r="O402" s="51"/>
      <c r="R402" s="53">
        <v>4.2</v>
      </c>
    </row>
    <row r="403" spans="1:18" s="56" customFormat="1" ht="12" x14ac:dyDescent="0.2">
      <c r="A403" s="94">
        <v>20148</v>
      </c>
      <c r="B403" s="80">
        <v>43894</v>
      </c>
      <c r="C403" s="74" t="s">
        <v>734</v>
      </c>
      <c r="D403" s="73" t="s">
        <v>102</v>
      </c>
      <c r="E403" s="75">
        <v>33</v>
      </c>
      <c r="F403" s="75"/>
      <c r="G403" s="75"/>
      <c r="H403" s="75">
        <f t="shared" si="65"/>
        <v>2.79</v>
      </c>
      <c r="I403" s="75">
        <f t="shared" si="66"/>
        <v>3.56</v>
      </c>
      <c r="J403" s="76">
        <f t="shared" si="67"/>
        <v>92.07</v>
      </c>
      <c r="K403" s="76">
        <f t="shared" si="68"/>
        <v>117.48</v>
      </c>
      <c r="L403" s="76"/>
      <c r="M403" s="76"/>
      <c r="N403" s="76"/>
      <c r="O403" s="51"/>
      <c r="R403" s="53">
        <v>2.79</v>
      </c>
    </row>
    <row r="404" spans="1:18" s="56" customFormat="1" ht="12" x14ac:dyDescent="0.2">
      <c r="A404" s="94">
        <v>20157</v>
      </c>
      <c r="B404" s="80">
        <v>43895</v>
      </c>
      <c r="C404" s="74" t="s">
        <v>735</v>
      </c>
      <c r="D404" s="73" t="s">
        <v>102</v>
      </c>
      <c r="E404" s="75">
        <v>23</v>
      </c>
      <c r="F404" s="75"/>
      <c r="G404" s="75"/>
      <c r="H404" s="75">
        <f t="shared" si="65"/>
        <v>18.87</v>
      </c>
      <c r="I404" s="75">
        <f t="shared" si="66"/>
        <v>24.08</v>
      </c>
      <c r="J404" s="76">
        <f t="shared" si="67"/>
        <v>434.01</v>
      </c>
      <c r="K404" s="76">
        <f t="shared" si="68"/>
        <v>553.84</v>
      </c>
      <c r="L404" s="76"/>
      <c r="M404" s="76"/>
      <c r="N404" s="76"/>
      <c r="O404" s="51"/>
      <c r="R404" s="53">
        <v>18.87</v>
      </c>
    </row>
    <row r="405" spans="1:18" s="56" customFormat="1" ht="12" x14ac:dyDescent="0.2">
      <c r="A405" s="94">
        <v>20156</v>
      </c>
      <c r="B405" s="80">
        <v>43896</v>
      </c>
      <c r="C405" s="74" t="s">
        <v>736</v>
      </c>
      <c r="D405" s="73" t="s">
        <v>102</v>
      </c>
      <c r="E405" s="75">
        <v>7</v>
      </c>
      <c r="F405" s="75"/>
      <c r="G405" s="75"/>
      <c r="H405" s="75">
        <f t="shared" si="65"/>
        <v>11.44</v>
      </c>
      <c r="I405" s="75">
        <f t="shared" si="66"/>
        <v>14.6</v>
      </c>
      <c r="J405" s="76">
        <f t="shared" si="67"/>
        <v>80.08</v>
      </c>
      <c r="K405" s="76">
        <f t="shared" si="68"/>
        <v>102.2</v>
      </c>
      <c r="L405" s="76"/>
      <c r="M405" s="76"/>
      <c r="N405" s="76"/>
      <c r="O405" s="51"/>
      <c r="R405" s="53">
        <v>11.44</v>
      </c>
    </row>
    <row r="406" spans="1:18" s="56" customFormat="1" ht="12" x14ac:dyDescent="0.2">
      <c r="A406" s="94">
        <v>20155</v>
      </c>
      <c r="B406" s="80">
        <v>43897</v>
      </c>
      <c r="C406" s="74" t="s">
        <v>737</v>
      </c>
      <c r="D406" s="73" t="s">
        <v>102</v>
      </c>
      <c r="E406" s="75">
        <v>80</v>
      </c>
      <c r="F406" s="75"/>
      <c r="G406" s="75"/>
      <c r="H406" s="75">
        <f t="shared" si="65"/>
        <v>4.8099999999999996</v>
      </c>
      <c r="I406" s="75">
        <f t="shared" si="66"/>
        <v>6.14</v>
      </c>
      <c r="J406" s="76">
        <f t="shared" si="67"/>
        <v>384.8</v>
      </c>
      <c r="K406" s="76">
        <f t="shared" si="68"/>
        <v>491.2</v>
      </c>
      <c r="L406" s="76"/>
      <c r="M406" s="76"/>
      <c r="N406" s="76"/>
      <c r="O406" s="51"/>
      <c r="R406" s="53">
        <v>4.8099999999999996</v>
      </c>
    </row>
    <row r="407" spans="1:18" s="56" customFormat="1" ht="12" x14ac:dyDescent="0.2">
      <c r="A407" s="94">
        <v>20154</v>
      </c>
      <c r="B407" s="80">
        <v>43898</v>
      </c>
      <c r="C407" s="74" t="s">
        <v>738</v>
      </c>
      <c r="D407" s="73" t="s">
        <v>102</v>
      </c>
      <c r="E407" s="75">
        <v>69</v>
      </c>
      <c r="F407" s="75"/>
      <c r="G407" s="75"/>
      <c r="H407" s="75">
        <f t="shared" si="65"/>
        <v>3.07</v>
      </c>
      <c r="I407" s="75">
        <f t="shared" si="66"/>
        <v>3.92</v>
      </c>
      <c r="J407" s="76">
        <f t="shared" si="67"/>
        <v>211.83</v>
      </c>
      <c r="K407" s="76">
        <f t="shared" si="68"/>
        <v>270.48</v>
      </c>
      <c r="L407" s="76"/>
      <c r="M407" s="76"/>
      <c r="N407" s="76"/>
      <c r="O407" s="51"/>
      <c r="R407" s="53">
        <v>3.07</v>
      </c>
    </row>
    <row r="408" spans="1:18" s="56" customFormat="1" ht="12" x14ac:dyDescent="0.2">
      <c r="A408" s="72"/>
      <c r="B408" s="70" t="s">
        <v>739</v>
      </c>
      <c r="C408" s="71" t="s">
        <v>740</v>
      </c>
      <c r="D408" s="72"/>
      <c r="E408" s="72"/>
      <c r="F408" s="72"/>
      <c r="G408" s="72"/>
      <c r="H408" s="75"/>
      <c r="I408" s="72"/>
      <c r="J408" s="72"/>
      <c r="K408" s="72"/>
      <c r="L408" s="72"/>
      <c r="M408" s="72"/>
      <c r="N408" s="72"/>
      <c r="O408" s="52"/>
      <c r="R408" s="52"/>
    </row>
    <row r="409" spans="1:18" s="56" customFormat="1" ht="12" x14ac:dyDescent="0.2">
      <c r="A409" s="94">
        <v>20141</v>
      </c>
      <c r="B409" s="80">
        <v>43922</v>
      </c>
      <c r="C409" s="74" t="s">
        <v>741</v>
      </c>
      <c r="D409" s="73" t="s">
        <v>102</v>
      </c>
      <c r="E409" s="75">
        <v>6</v>
      </c>
      <c r="F409" s="75"/>
      <c r="G409" s="75"/>
      <c r="H409" s="75">
        <f>ROUND(R409*$R$12,2)</f>
        <v>8.65</v>
      </c>
      <c r="I409" s="75">
        <f>ROUND(H409*(1+$S$1),2)</f>
        <v>11.04</v>
      </c>
      <c r="J409" s="76">
        <f>ROUND(E409*H409,2)</f>
        <v>51.9</v>
      </c>
      <c r="K409" s="76">
        <f>ROUND(E409*I409,2)</f>
        <v>66.239999999999995</v>
      </c>
      <c r="L409" s="76"/>
      <c r="M409" s="76"/>
      <c r="N409" s="76"/>
      <c r="O409" s="51"/>
      <c r="R409" s="53">
        <v>8.65</v>
      </c>
    </row>
    <row r="410" spans="1:18" s="56" customFormat="1" ht="12" x14ac:dyDescent="0.2">
      <c r="A410" s="94">
        <v>20140</v>
      </c>
      <c r="B410" s="80">
        <v>43923</v>
      </c>
      <c r="C410" s="74" t="s">
        <v>742</v>
      </c>
      <c r="D410" s="73" t="s">
        <v>102</v>
      </c>
      <c r="E410" s="75">
        <v>3</v>
      </c>
      <c r="F410" s="75"/>
      <c r="G410" s="75"/>
      <c r="H410" s="75">
        <f>ROUND(R410*$R$12,2)</f>
        <v>5.75</v>
      </c>
      <c r="I410" s="75">
        <f>ROUND(H410*(1+$S$1),2)</f>
        <v>7.34</v>
      </c>
      <c r="J410" s="76">
        <f>ROUND(E410*H410,2)</f>
        <v>17.25</v>
      </c>
      <c r="K410" s="76">
        <f>ROUND(E410*I410,2)</f>
        <v>22.02</v>
      </c>
      <c r="L410" s="76"/>
      <c r="M410" s="76"/>
      <c r="N410" s="76"/>
      <c r="O410" s="51"/>
      <c r="R410" s="53">
        <v>5.75</v>
      </c>
    </row>
    <row r="411" spans="1:18" s="56" customFormat="1" ht="12" x14ac:dyDescent="0.2">
      <c r="A411" s="72"/>
      <c r="B411" s="70" t="s">
        <v>743</v>
      </c>
      <c r="C411" s="71" t="s">
        <v>641</v>
      </c>
      <c r="D411" s="72"/>
      <c r="E411" s="72"/>
      <c r="F411" s="72"/>
      <c r="G411" s="72"/>
      <c r="H411" s="75"/>
      <c r="I411" s="72"/>
      <c r="J411" s="72"/>
      <c r="K411" s="72"/>
      <c r="L411" s="72"/>
      <c r="M411" s="72"/>
      <c r="N411" s="72"/>
      <c r="O411" s="52"/>
      <c r="R411" s="52"/>
    </row>
    <row r="412" spans="1:18" s="56" customFormat="1" ht="12" x14ac:dyDescent="0.2">
      <c r="A412" s="94">
        <v>20171</v>
      </c>
      <c r="B412" s="80">
        <v>43952</v>
      </c>
      <c r="C412" s="74" t="s">
        <v>744</v>
      </c>
      <c r="D412" s="73" t="s">
        <v>102</v>
      </c>
      <c r="E412" s="75">
        <v>13</v>
      </c>
      <c r="F412" s="75"/>
      <c r="G412" s="75"/>
      <c r="H412" s="75">
        <f>ROUND(R412*$R$12,2)</f>
        <v>25.8</v>
      </c>
      <c r="I412" s="75">
        <f>ROUND(H412*(1+$S$1),2)</f>
        <v>32.92</v>
      </c>
      <c r="J412" s="76">
        <f>ROUND(E412*H412,2)</f>
        <v>335.4</v>
      </c>
      <c r="K412" s="76">
        <f>ROUND(E412*I412,2)</f>
        <v>427.96</v>
      </c>
      <c r="L412" s="76"/>
      <c r="M412" s="76"/>
      <c r="N412" s="76"/>
      <c r="O412" s="51"/>
      <c r="R412" s="53">
        <v>25.8</v>
      </c>
    </row>
    <row r="413" spans="1:18" s="56" customFormat="1" ht="12" x14ac:dyDescent="0.2">
      <c r="A413" s="94">
        <v>20170</v>
      </c>
      <c r="B413" s="80">
        <v>43953</v>
      </c>
      <c r="C413" s="74" t="s">
        <v>745</v>
      </c>
      <c r="D413" s="73" t="s">
        <v>102</v>
      </c>
      <c r="E413" s="75">
        <v>7</v>
      </c>
      <c r="F413" s="75"/>
      <c r="G413" s="75"/>
      <c r="H413" s="75">
        <f>ROUND(R413*$R$12,2)</f>
        <v>8.23</v>
      </c>
      <c r="I413" s="75">
        <f>ROUND(H413*(1+$S$1),2)</f>
        <v>10.5</v>
      </c>
      <c r="J413" s="76">
        <f>ROUND(E413*H413,2)</f>
        <v>57.61</v>
      </c>
      <c r="K413" s="76">
        <f>ROUND(E413*I413,2)</f>
        <v>73.5</v>
      </c>
      <c r="L413" s="76"/>
      <c r="M413" s="76"/>
      <c r="N413" s="76"/>
      <c r="O413" s="51"/>
      <c r="R413" s="53">
        <v>8.23</v>
      </c>
    </row>
    <row r="414" spans="1:18" s="56" customFormat="1" ht="12" x14ac:dyDescent="0.2">
      <c r="A414" s="94">
        <v>20169</v>
      </c>
      <c r="B414" s="80">
        <v>43954</v>
      </c>
      <c r="C414" s="74" t="s">
        <v>746</v>
      </c>
      <c r="D414" s="73" t="s">
        <v>102</v>
      </c>
      <c r="E414" s="75">
        <v>8</v>
      </c>
      <c r="F414" s="75"/>
      <c r="G414" s="75"/>
      <c r="H414" s="75">
        <f>ROUND(R414*$R$12,2)</f>
        <v>6.79</v>
      </c>
      <c r="I414" s="75">
        <f>ROUND(H414*(1+$S$1),2)</f>
        <v>8.66</v>
      </c>
      <c r="J414" s="76">
        <f>ROUND(E414*H414,2)</f>
        <v>54.32</v>
      </c>
      <c r="K414" s="76">
        <f>ROUND(E414*I414,2)</f>
        <v>69.28</v>
      </c>
      <c r="L414" s="76"/>
      <c r="M414" s="76"/>
      <c r="N414" s="76"/>
      <c r="O414" s="51"/>
      <c r="R414" s="53">
        <v>6.79</v>
      </c>
    </row>
    <row r="415" spans="1:18" s="56" customFormat="1" ht="12" x14ac:dyDescent="0.2">
      <c r="A415" s="94">
        <v>20168</v>
      </c>
      <c r="B415" s="80">
        <v>43955</v>
      </c>
      <c r="C415" s="74" t="s">
        <v>747</v>
      </c>
      <c r="D415" s="73" t="s">
        <v>102</v>
      </c>
      <c r="E415" s="75">
        <v>14</v>
      </c>
      <c r="F415" s="75"/>
      <c r="G415" s="75"/>
      <c r="H415" s="75">
        <f>ROUND(R415*$R$12,2)</f>
        <v>4.83</v>
      </c>
      <c r="I415" s="75">
        <f>ROUND(H415*(1+$S$1),2)</f>
        <v>6.16</v>
      </c>
      <c r="J415" s="76">
        <f>ROUND(E415*H415,2)</f>
        <v>67.62</v>
      </c>
      <c r="K415" s="76">
        <f>ROUND(E415*I415,2)</f>
        <v>86.24</v>
      </c>
      <c r="L415" s="76"/>
      <c r="M415" s="76"/>
      <c r="N415" s="76"/>
      <c r="O415" s="51"/>
      <c r="R415" s="53">
        <v>4.83</v>
      </c>
    </row>
    <row r="416" spans="1:18" s="56" customFormat="1" ht="12" x14ac:dyDescent="0.2">
      <c r="A416" s="94">
        <v>20167</v>
      </c>
      <c r="B416" s="80">
        <v>43956</v>
      </c>
      <c r="C416" s="74" t="s">
        <v>748</v>
      </c>
      <c r="D416" s="73" t="s">
        <v>102</v>
      </c>
      <c r="E416" s="75">
        <v>7</v>
      </c>
      <c r="F416" s="75"/>
      <c r="G416" s="75"/>
      <c r="H416" s="75">
        <f>ROUND(R416*$R$12,2)</f>
        <v>3.24</v>
      </c>
      <c r="I416" s="75">
        <f>ROUND(H416*(1+$S$1),2)</f>
        <v>4.13</v>
      </c>
      <c r="J416" s="76">
        <f>ROUND(E416*H416,2)</f>
        <v>22.68</v>
      </c>
      <c r="K416" s="76">
        <f>ROUND(E416*I416,2)</f>
        <v>28.91</v>
      </c>
      <c r="L416" s="76"/>
      <c r="M416" s="76"/>
      <c r="N416" s="76"/>
      <c r="O416" s="51"/>
      <c r="R416" s="53">
        <v>3.24</v>
      </c>
    </row>
    <row r="417" spans="1:18" s="56" customFormat="1" ht="12" x14ac:dyDescent="0.2">
      <c r="A417" s="72"/>
      <c r="B417" s="70" t="s">
        <v>749</v>
      </c>
      <c r="C417" s="71" t="s">
        <v>750</v>
      </c>
      <c r="D417" s="72"/>
      <c r="E417" s="72"/>
      <c r="F417" s="72"/>
      <c r="G417" s="72"/>
      <c r="H417" s="75"/>
      <c r="I417" s="72"/>
      <c r="J417" s="72"/>
      <c r="K417" s="72"/>
      <c r="L417" s="72"/>
      <c r="M417" s="72"/>
      <c r="N417" s="72"/>
      <c r="O417" s="52"/>
      <c r="R417" s="52"/>
    </row>
    <row r="418" spans="1:18" s="56" customFormat="1" ht="12" x14ac:dyDescent="0.2">
      <c r="A418" s="94">
        <v>20042</v>
      </c>
      <c r="B418" s="80">
        <v>43983</v>
      </c>
      <c r="C418" s="74" t="s">
        <v>751</v>
      </c>
      <c r="D418" s="73" t="s">
        <v>102</v>
      </c>
      <c r="E418" s="75">
        <v>9</v>
      </c>
      <c r="F418" s="75"/>
      <c r="G418" s="75"/>
      <c r="H418" s="75">
        <f>ROUND(R418*$R$12,2)</f>
        <v>3.11</v>
      </c>
      <c r="I418" s="75">
        <f>ROUND(H418*(1+$S$1),2)</f>
        <v>3.97</v>
      </c>
      <c r="J418" s="76">
        <f>ROUND(E418*H418,2)</f>
        <v>27.99</v>
      </c>
      <c r="K418" s="76">
        <f>ROUND(E418*I418,2)</f>
        <v>35.729999999999997</v>
      </c>
      <c r="L418" s="76"/>
      <c r="M418" s="76"/>
      <c r="N418" s="76"/>
      <c r="O418" s="51"/>
      <c r="R418" s="53">
        <v>3.11</v>
      </c>
    </row>
    <row r="419" spans="1:18" s="56" customFormat="1" ht="12" x14ac:dyDescent="0.2">
      <c r="A419" s="94">
        <v>38418</v>
      </c>
      <c r="B419" s="80">
        <v>43984</v>
      </c>
      <c r="C419" s="74" t="s">
        <v>752</v>
      </c>
      <c r="D419" s="73" t="s">
        <v>102</v>
      </c>
      <c r="E419" s="75">
        <v>2</v>
      </c>
      <c r="F419" s="75"/>
      <c r="G419" s="75"/>
      <c r="H419" s="75">
        <f>ROUND(R419*$R$12,2)</f>
        <v>3.14</v>
      </c>
      <c r="I419" s="75">
        <f>ROUND(H419*(1+$S$1),2)</f>
        <v>4.01</v>
      </c>
      <c r="J419" s="76">
        <f>ROUND(E419*H419,2)</f>
        <v>6.28</v>
      </c>
      <c r="K419" s="76">
        <f>ROUND(E419*I419,2)</f>
        <v>8.02</v>
      </c>
      <c r="L419" s="76"/>
      <c r="M419" s="76"/>
      <c r="N419" s="76"/>
      <c r="O419" s="51"/>
      <c r="R419" s="53">
        <v>3.14</v>
      </c>
    </row>
    <row r="420" spans="1:18" s="56" customFormat="1" ht="12" x14ac:dyDescent="0.2">
      <c r="A420" s="72"/>
      <c r="B420" s="70" t="s">
        <v>753</v>
      </c>
      <c r="C420" s="71" t="s">
        <v>754</v>
      </c>
      <c r="D420" s="72"/>
      <c r="E420" s="72"/>
      <c r="F420" s="72"/>
      <c r="G420" s="72"/>
      <c r="H420" s="75"/>
      <c r="I420" s="72"/>
      <c r="J420" s="72"/>
      <c r="K420" s="72"/>
      <c r="L420" s="72"/>
      <c r="M420" s="72"/>
      <c r="N420" s="72"/>
      <c r="O420" s="52"/>
      <c r="R420" s="52"/>
    </row>
    <row r="421" spans="1:18" s="56" customFormat="1" ht="12" x14ac:dyDescent="0.2">
      <c r="A421" s="94">
        <v>89834</v>
      </c>
      <c r="B421" s="80">
        <v>44013</v>
      </c>
      <c r="C421" s="74" t="s">
        <v>755</v>
      </c>
      <c r="D421" s="73" t="s">
        <v>102</v>
      </c>
      <c r="E421" s="75">
        <v>23</v>
      </c>
      <c r="F421" s="75"/>
      <c r="G421" s="75"/>
      <c r="H421" s="75">
        <f>ROUND(R421*$R$12,2)</f>
        <v>26.88</v>
      </c>
      <c r="I421" s="75">
        <f>ROUND(H421*(1+$S$1),2)</f>
        <v>34.299999999999997</v>
      </c>
      <c r="J421" s="76">
        <f>ROUND(E421*H421,2)</f>
        <v>618.24</v>
      </c>
      <c r="K421" s="76">
        <f>ROUND(E421*I421,2)</f>
        <v>788.9</v>
      </c>
      <c r="L421" s="76"/>
      <c r="M421" s="76"/>
      <c r="N421" s="76"/>
      <c r="O421" s="51"/>
      <c r="R421" s="53">
        <v>26.88</v>
      </c>
    </row>
    <row r="422" spans="1:18" s="56" customFormat="1" ht="12" x14ac:dyDescent="0.2">
      <c r="A422" s="72"/>
      <c r="B422" s="70" t="s">
        <v>756</v>
      </c>
      <c r="C422" s="71" t="s">
        <v>757</v>
      </c>
      <c r="D422" s="72"/>
      <c r="E422" s="72"/>
      <c r="F422" s="72"/>
      <c r="G422" s="72"/>
      <c r="H422" s="75"/>
      <c r="I422" s="72"/>
      <c r="J422" s="72"/>
      <c r="K422" s="72"/>
      <c r="L422" s="72"/>
      <c r="M422" s="72"/>
      <c r="N422" s="72"/>
      <c r="O422" s="52"/>
      <c r="R422" s="52"/>
    </row>
    <row r="423" spans="1:18" s="56" customFormat="1" ht="12" x14ac:dyDescent="0.2">
      <c r="A423" s="94">
        <v>6138</v>
      </c>
      <c r="B423" s="80">
        <v>44044</v>
      </c>
      <c r="C423" s="74" t="s">
        <v>758</v>
      </c>
      <c r="D423" s="73" t="s">
        <v>102</v>
      </c>
      <c r="E423" s="75">
        <v>23</v>
      </c>
      <c r="F423" s="75"/>
      <c r="G423" s="75"/>
      <c r="H423" s="75">
        <f>ROUND(R423*$R$12,2)</f>
        <v>1.66</v>
      </c>
      <c r="I423" s="75">
        <f>ROUND(H423*(1+$S$1),2)</f>
        <v>2.12</v>
      </c>
      <c r="J423" s="76">
        <f>ROUND(E423*H423,2)</f>
        <v>38.18</v>
      </c>
      <c r="K423" s="76">
        <f>ROUND(E423*I423,2)</f>
        <v>48.76</v>
      </c>
      <c r="L423" s="76"/>
      <c r="M423" s="76"/>
      <c r="N423" s="76"/>
      <c r="O423" s="51"/>
      <c r="R423" s="53">
        <v>1.66</v>
      </c>
    </row>
    <row r="424" spans="1:18" s="56" customFormat="1" ht="12" x14ac:dyDescent="0.2">
      <c r="A424" s="72"/>
      <c r="B424" s="70" t="s">
        <v>759</v>
      </c>
      <c r="C424" s="71" t="s">
        <v>760</v>
      </c>
      <c r="D424" s="72"/>
      <c r="E424" s="72"/>
      <c r="F424" s="72"/>
      <c r="G424" s="72"/>
      <c r="H424" s="75"/>
      <c r="I424" s="72"/>
      <c r="J424" s="76"/>
      <c r="K424" s="76"/>
      <c r="L424" s="76"/>
      <c r="M424" s="76"/>
      <c r="N424" s="76"/>
      <c r="O424" s="51"/>
      <c r="R424" s="52"/>
    </row>
    <row r="425" spans="1:18" s="56" customFormat="1" ht="24" x14ac:dyDescent="0.2">
      <c r="A425" s="95">
        <v>84</v>
      </c>
      <c r="B425" s="80">
        <v>44075</v>
      </c>
      <c r="C425" s="74" t="s">
        <v>761</v>
      </c>
      <c r="D425" s="73" t="s">
        <v>102</v>
      </c>
      <c r="E425" s="75">
        <v>17</v>
      </c>
      <c r="F425" s="75"/>
      <c r="G425" s="75"/>
      <c r="H425" s="75">
        <f>ROUND(R425*$R$12,2)</f>
        <v>1.34</v>
      </c>
      <c r="I425" s="75">
        <f>ROUND(H425*(1+$S$1),2)</f>
        <v>1.71</v>
      </c>
      <c r="J425" s="76">
        <f>ROUND(E425*H425,2)</f>
        <v>22.78</v>
      </c>
      <c r="K425" s="76">
        <f>ROUND(E425*I425,2)</f>
        <v>29.07</v>
      </c>
      <c r="L425" s="76"/>
      <c r="M425" s="76"/>
      <c r="N425" s="76"/>
      <c r="O425" s="51"/>
      <c r="R425" s="53">
        <v>1.34</v>
      </c>
    </row>
    <row r="426" spans="1:18" s="56" customFormat="1" ht="12" x14ac:dyDescent="0.2">
      <c r="A426" s="72"/>
      <c r="B426" s="70" t="s">
        <v>762</v>
      </c>
      <c r="C426" s="71" t="s">
        <v>450</v>
      </c>
      <c r="D426" s="72"/>
      <c r="E426" s="72"/>
      <c r="F426" s="72"/>
      <c r="G426" s="72"/>
      <c r="H426" s="75"/>
      <c r="I426" s="72"/>
      <c r="J426" s="72"/>
      <c r="K426" s="72"/>
      <c r="L426" s="72"/>
      <c r="M426" s="72"/>
      <c r="N426" s="72"/>
      <c r="O426" s="52"/>
      <c r="R426" s="52"/>
    </row>
    <row r="427" spans="1:18" s="56" customFormat="1" ht="12" x14ac:dyDescent="0.2">
      <c r="A427" s="94">
        <v>20178</v>
      </c>
      <c r="B427" s="84">
        <v>44105</v>
      </c>
      <c r="C427" s="74" t="s">
        <v>763</v>
      </c>
      <c r="D427" s="73" t="s">
        <v>102</v>
      </c>
      <c r="E427" s="75">
        <v>23</v>
      </c>
      <c r="F427" s="75"/>
      <c r="G427" s="75"/>
      <c r="H427" s="75">
        <f>ROUND(R427*$R$12,2)</f>
        <v>21.6</v>
      </c>
      <c r="I427" s="75">
        <f>ROUND(H427*(1+$S$1),2)</f>
        <v>27.56</v>
      </c>
      <c r="J427" s="76">
        <f>ROUND(E427*H427,2)</f>
        <v>496.8</v>
      </c>
      <c r="K427" s="76">
        <f>ROUND(E427*I427,2)</f>
        <v>633.88</v>
      </c>
      <c r="L427" s="76"/>
      <c r="M427" s="76"/>
      <c r="N427" s="76"/>
      <c r="O427" s="51"/>
      <c r="R427" s="53">
        <v>21.6</v>
      </c>
    </row>
    <row r="428" spans="1:18" s="56" customFormat="1" ht="12" x14ac:dyDescent="0.2">
      <c r="A428" s="73" t="s">
        <v>308</v>
      </c>
      <c r="B428" s="84">
        <v>44106</v>
      </c>
      <c r="C428" s="74" t="s">
        <v>764</v>
      </c>
      <c r="D428" s="73" t="s">
        <v>102</v>
      </c>
      <c r="E428" s="75">
        <v>21</v>
      </c>
      <c r="F428" s="75"/>
      <c r="G428" s="75"/>
      <c r="H428" s="75">
        <f>ROUND(R428*$R$12,2)</f>
        <v>15.9</v>
      </c>
      <c r="I428" s="75">
        <f>ROUND(H428*(1+$S$1),2)</f>
        <v>20.29</v>
      </c>
      <c r="J428" s="76">
        <f>ROUND(E428*H428,2)</f>
        <v>333.9</v>
      </c>
      <c r="K428" s="76">
        <f>ROUND(E428*I428,2)</f>
        <v>426.09</v>
      </c>
      <c r="L428" s="76"/>
      <c r="M428" s="76"/>
      <c r="N428" s="76"/>
      <c r="O428" s="51"/>
      <c r="R428" s="53">
        <v>15.9</v>
      </c>
    </row>
    <row r="429" spans="1:18" s="56" customFormat="1" ht="12" x14ac:dyDescent="0.2">
      <c r="A429" s="94">
        <v>20179</v>
      </c>
      <c r="B429" s="84">
        <v>44107</v>
      </c>
      <c r="C429" s="74" t="s">
        <v>765</v>
      </c>
      <c r="D429" s="73" t="s">
        <v>102</v>
      </c>
      <c r="E429" s="75">
        <v>2</v>
      </c>
      <c r="F429" s="75"/>
      <c r="G429" s="75"/>
      <c r="H429" s="75">
        <f>ROUND(R429*$R$12,2)</f>
        <v>29.74</v>
      </c>
      <c r="I429" s="75">
        <f>ROUND(H429*(1+$S$1),2)</f>
        <v>37.950000000000003</v>
      </c>
      <c r="J429" s="76">
        <f>ROUND(E429*H429,2)</f>
        <v>59.48</v>
      </c>
      <c r="K429" s="76">
        <f>ROUND(E429*I429,2)</f>
        <v>75.900000000000006</v>
      </c>
      <c r="L429" s="76"/>
      <c r="M429" s="76"/>
      <c r="N429" s="76"/>
      <c r="O429" s="51"/>
      <c r="R429" s="53">
        <v>29.74</v>
      </c>
    </row>
    <row r="430" spans="1:18" s="56" customFormat="1" ht="12" x14ac:dyDescent="0.2">
      <c r="A430" s="94">
        <v>20177</v>
      </c>
      <c r="B430" s="84">
        <v>44108</v>
      </c>
      <c r="C430" s="74" t="s">
        <v>766</v>
      </c>
      <c r="D430" s="73" t="s">
        <v>102</v>
      </c>
      <c r="E430" s="75">
        <v>4</v>
      </c>
      <c r="F430" s="75"/>
      <c r="G430" s="75"/>
      <c r="H430" s="75">
        <f>ROUND(R430*$R$12,2)</f>
        <v>17.09</v>
      </c>
      <c r="I430" s="75">
        <f>ROUND(H430*(1+$S$1),2)</f>
        <v>21.81</v>
      </c>
      <c r="J430" s="76">
        <f>ROUND(E430*H430,2)</f>
        <v>68.36</v>
      </c>
      <c r="K430" s="76">
        <f>ROUND(E430*I430,2)</f>
        <v>87.24</v>
      </c>
      <c r="L430" s="76"/>
      <c r="M430" s="76"/>
      <c r="N430" s="76"/>
      <c r="O430" s="51"/>
      <c r="R430" s="53">
        <v>17.09</v>
      </c>
    </row>
    <row r="431" spans="1:18" s="56" customFormat="1" ht="12" x14ac:dyDescent="0.2">
      <c r="A431" s="94">
        <v>7097</v>
      </c>
      <c r="B431" s="84">
        <v>44109</v>
      </c>
      <c r="C431" s="74" t="s">
        <v>767</v>
      </c>
      <c r="D431" s="73" t="s">
        <v>102</v>
      </c>
      <c r="E431" s="75">
        <v>50</v>
      </c>
      <c r="F431" s="75"/>
      <c r="G431" s="75"/>
      <c r="H431" s="75">
        <f>ROUND(R431*$R$12,2)</f>
        <v>5.2</v>
      </c>
      <c r="I431" s="75">
        <f>ROUND(H431*(1+$S$1),2)</f>
        <v>6.63</v>
      </c>
      <c r="J431" s="76">
        <f>ROUND(E431*H431,2)</f>
        <v>260</v>
      </c>
      <c r="K431" s="76">
        <f>ROUND(E431*I431,2)</f>
        <v>331.5</v>
      </c>
      <c r="L431" s="76"/>
      <c r="M431" s="76"/>
      <c r="N431" s="76"/>
      <c r="O431" s="51"/>
      <c r="R431" s="53">
        <v>5.2</v>
      </c>
    </row>
    <row r="432" spans="1:18" s="56" customFormat="1" ht="12" x14ac:dyDescent="0.2">
      <c r="A432" s="72"/>
      <c r="B432" s="70" t="s">
        <v>768</v>
      </c>
      <c r="C432" s="71" t="s">
        <v>684</v>
      </c>
      <c r="D432" s="72"/>
      <c r="E432" s="72"/>
      <c r="F432" s="72"/>
      <c r="G432" s="72"/>
      <c r="H432" s="75"/>
      <c r="I432" s="72"/>
      <c r="J432" s="72"/>
      <c r="K432" s="72"/>
      <c r="L432" s="72"/>
      <c r="M432" s="72"/>
      <c r="N432" s="72"/>
      <c r="O432" s="52"/>
      <c r="R432" s="52"/>
    </row>
    <row r="433" spans="1:18" s="56" customFormat="1" ht="12" x14ac:dyDescent="0.2">
      <c r="A433" s="72"/>
      <c r="B433" s="85">
        <v>44136</v>
      </c>
      <c r="C433" s="71" t="s">
        <v>769</v>
      </c>
      <c r="D433" s="72"/>
      <c r="E433" s="72"/>
      <c r="F433" s="72"/>
      <c r="G433" s="72"/>
      <c r="H433" s="75"/>
      <c r="I433" s="72"/>
      <c r="J433" s="72"/>
      <c r="K433" s="72"/>
      <c r="L433" s="72"/>
      <c r="M433" s="72"/>
      <c r="N433" s="72"/>
      <c r="O433" s="52"/>
      <c r="R433" s="52"/>
    </row>
    <row r="434" spans="1:18" s="56" customFormat="1" ht="12" x14ac:dyDescent="0.2">
      <c r="A434" s="94">
        <v>11880</v>
      </c>
      <c r="B434" s="73" t="s">
        <v>770</v>
      </c>
      <c r="C434" s="74" t="s">
        <v>771</v>
      </c>
      <c r="D434" s="73" t="s">
        <v>102</v>
      </c>
      <c r="E434" s="75">
        <v>4</v>
      </c>
      <c r="F434" s="75"/>
      <c r="G434" s="75"/>
      <c r="H434" s="75">
        <f>ROUND(R434*$R$12,2)</f>
        <v>68.53</v>
      </c>
      <c r="I434" s="75">
        <f>ROUND(H434*(1+$S$1),2)</f>
        <v>87.44</v>
      </c>
      <c r="J434" s="76">
        <f>ROUND(E434*H434,2)</f>
        <v>274.12</v>
      </c>
      <c r="K434" s="76">
        <f>ROUND(E434*I434,2)</f>
        <v>349.76</v>
      </c>
      <c r="L434" s="76"/>
      <c r="M434" s="76"/>
      <c r="N434" s="76"/>
      <c r="O434" s="51"/>
      <c r="R434" s="53">
        <v>68.53</v>
      </c>
    </row>
    <row r="435" spans="1:18" s="56" customFormat="1" ht="12" x14ac:dyDescent="0.2">
      <c r="A435" s="94">
        <v>89491</v>
      </c>
      <c r="B435" s="73" t="s">
        <v>772</v>
      </c>
      <c r="C435" s="74" t="s">
        <v>773</v>
      </c>
      <c r="D435" s="73" t="s">
        <v>102</v>
      </c>
      <c r="E435" s="75">
        <v>18</v>
      </c>
      <c r="F435" s="75"/>
      <c r="G435" s="75"/>
      <c r="H435" s="75">
        <f>ROUND(R435*$R$12,2)</f>
        <v>44.44</v>
      </c>
      <c r="I435" s="75">
        <f>ROUND(H435*(1+$S$1),2)</f>
        <v>56.7</v>
      </c>
      <c r="J435" s="76">
        <f>ROUND(E435*H435,2)</f>
        <v>799.92</v>
      </c>
      <c r="K435" s="76">
        <f>ROUND(E435*I435,2)</f>
        <v>1020.6</v>
      </c>
      <c r="L435" s="76"/>
      <c r="M435" s="76"/>
      <c r="N435" s="76"/>
      <c r="O435" s="51"/>
      <c r="R435" s="53">
        <v>44.44</v>
      </c>
    </row>
    <row r="436" spans="1:18" s="56" customFormat="1" ht="12" x14ac:dyDescent="0.2">
      <c r="A436" s="72"/>
      <c r="B436" s="85">
        <v>44137</v>
      </c>
      <c r="C436" s="71" t="s">
        <v>774</v>
      </c>
      <c r="D436" s="72"/>
      <c r="E436" s="72"/>
      <c r="F436" s="72"/>
      <c r="G436" s="72"/>
      <c r="H436" s="75"/>
      <c r="I436" s="72"/>
      <c r="J436" s="76">
        <f>E436*H436</f>
        <v>0</v>
      </c>
      <c r="K436" s="76">
        <f>E436*I436</f>
        <v>0</v>
      </c>
      <c r="L436" s="76"/>
      <c r="M436" s="76"/>
      <c r="N436" s="76"/>
      <c r="O436" s="51"/>
      <c r="R436" s="52"/>
    </row>
    <row r="437" spans="1:18" s="56" customFormat="1" ht="12" x14ac:dyDescent="0.2">
      <c r="A437" s="94">
        <v>11716</v>
      </c>
      <c r="B437" s="73" t="s">
        <v>775</v>
      </c>
      <c r="C437" s="74" t="s">
        <v>776</v>
      </c>
      <c r="D437" s="73" t="s">
        <v>102</v>
      </c>
      <c r="E437" s="75">
        <v>6</v>
      </c>
      <c r="F437" s="75"/>
      <c r="G437" s="75"/>
      <c r="H437" s="75">
        <f>ROUND(R437*$R$12,2)</f>
        <v>10.38</v>
      </c>
      <c r="I437" s="75">
        <f>ROUND(H437*(1+$S$1),2)</f>
        <v>13.24</v>
      </c>
      <c r="J437" s="76">
        <f>ROUND(E437*H437,2)</f>
        <v>62.28</v>
      </c>
      <c r="K437" s="76">
        <f>ROUND(E437*I437,2)</f>
        <v>79.44</v>
      </c>
      <c r="L437" s="76"/>
      <c r="M437" s="76"/>
      <c r="N437" s="76"/>
      <c r="O437" s="51"/>
      <c r="R437" s="53">
        <v>10.38</v>
      </c>
    </row>
    <row r="438" spans="1:18" s="56" customFormat="1" ht="12" x14ac:dyDescent="0.2">
      <c r="A438" s="72"/>
      <c r="B438" s="85">
        <v>44138</v>
      </c>
      <c r="C438" s="71" t="s">
        <v>711</v>
      </c>
      <c r="D438" s="72"/>
      <c r="E438" s="72"/>
      <c r="F438" s="72"/>
      <c r="G438" s="72"/>
      <c r="H438" s="75"/>
      <c r="I438" s="72"/>
      <c r="J438" s="72"/>
      <c r="K438" s="72"/>
      <c r="L438" s="72"/>
      <c r="M438" s="72"/>
      <c r="N438" s="72"/>
      <c r="O438" s="52"/>
      <c r="R438" s="52"/>
    </row>
    <row r="439" spans="1:18" s="56" customFormat="1" ht="12" x14ac:dyDescent="0.2">
      <c r="A439" s="73" t="s">
        <v>308</v>
      </c>
      <c r="B439" s="73" t="s">
        <v>777</v>
      </c>
      <c r="C439" s="74" t="s">
        <v>778</v>
      </c>
      <c r="D439" s="73" t="s">
        <v>102</v>
      </c>
      <c r="E439" s="75">
        <v>13</v>
      </c>
      <c r="F439" s="75"/>
      <c r="G439" s="75"/>
      <c r="H439" s="75">
        <f t="shared" ref="H439:H449" si="69">ROUND(R439*$R$12,2)</f>
        <v>24.15</v>
      </c>
      <c r="I439" s="75">
        <f t="shared" ref="I439:I449" si="70">ROUND(H439*(1+$S$1),2)</f>
        <v>30.81</v>
      </c>
      <c r="J439" s="76">
        <f t="shared" ref="J439:J449" si="71">ROUND(E439*H439,2)</f>
        <v>313.95</v>
      </c>
      <c r="K439" s="76">
        <f t="shared" ref="K439:K449" si="72">ROUND(E439*I439,2)</f>
        <v>400.53</v>
      </c>
      <c r="L439" s="76"/>
      <c r="M439" s="76"/>
      <c r="N439" s="76"/>
      <c r="O439" s="51"/>
      <c r="R439" s="53">
        <v>24.15</v>
      </c>
    </row>
    <row r="440" spans="1:18" s="56" customFormat="1" ht="12" x14ac:dyDescent="0.2">
      <c r="A440" s="73" t="s">
        <v>308</v>
      </c>
      <c r="B440" s="73" t="s">
        <v>779</v>
      </c>
      <c r="C440" s="74" t="s">
        <v>780</v>
      </c>
      <c r="D440" s="73" t="s">
        <v>102</v>
      </c>
      <c r="E440" s="75">
        <v>2</v>
      </c>
      <c r="F440" s="75"/>
      <c r="G440" s="75"/>
      <c r="H440" s="75">
        <f t="shared" si="69"/>
        <v>11.66</v>
      </c>
      <c r="I440" s="75">
        <f t="shared" si="70"/>
        <v>14.88</v>
      </c>
      <c r="J440" s="76">
        <f t="shared" si="71"/>
        <v>23.32</v>
      </c>
      <c r="K440" s="76">
        <f t="shared" si="72"/>
        <v>29.76</v>
      </c>
      <c r="L440" s="76"/>
      <c r="M440" s="76"/>
      <c r="N440" s="76"/>
      <c r="O440" s="51"/>
      <c r="R440" s="53">
        <v>11.66</v>
      </c>
    </row>
    <row r="441" spans="1:18" s="56" customFormat="1" ht="24" x14ac:dyDescent="0.2">
      <c r="A441" s="73" t="s">
        <v>308</v>
      </c>
      <c r="B441" s="73" t="s">
        <v>781</v>
      </c>
      <c r="C441" s="74" t="s">
        <v>782</v>
      </c>
      <c r="D441" s="73" t="s">
        <v>102</v>
      </c>
      <c r="E441" s="75">
        <v>5</v>
      </c>
      <c r="F441" s="75"/>
      <c r="G441" s="75"/>
      <c r="H441" s="75">
        <f t="shared" si="69"/>
        <v>16.05</v>
      </c>
      <c r="I441" s="75">
        <f t="shared" si="70"/>
        <v>20.48</v>
      </c>
      <c r="J441" s="76">
        <f t="shared" si="71"/>
        <v>80.25</v>
      </c>
      <c r="K441" s="76">
        <f t="shared" si="72"/>
        <v>102.4</v>
      </c>
      <c r="L441" s="76"/>
      <c r="M441" s="76"/>
      <c r="N441" s="76"/>
      <c r="O441" s="51"/>
      <c r="R441" s="53">
        <v>16.05</v>
      </c>
    </row>
    <row r="442" spans="1:18" s="56" customFormat="1" ht="24" x14ac:dyDescent="0.2">
      <c r="A442" s="73" t="s">
        <v>308</v>
      </c>
      <c r="B442" s="73" t="s">
        <v>783</v>
      </c>
      <c r="C442" s="74" t="s">
        <v>784</v>
      </c>
      <c r="D442" s="73" t="s">
        <v>102</v>
      </c>
      <c r="E442" s="75">
        <v>4</v>
      </c>
      <c r="F442" s="75"/>
      <c r="G442" s="75"/>
      <c r="H442" s="75">
        <f t="shared" si="69"/>
        <v>9.69</v>
      </c>
      <c r="I442" s="75">
        <f t="shared" si="70"/>
        <v>12.36</v>
      </c>
      <c r="J442" s="76">
        <f t="shared" si="71"/>
        <v>38.76</v>
      </c>
      <c r="K442" s="76">
        <f t="shared" si="72"/>
        <v>49.44</v>
      </c>
      <c r="L442" s="76"/>
      <c r="M442" s="76"/>
      <c r="N442" s="76"/>
      <c r="O442" s="51"/>
      <c r="R442" s="53">
        <v>9.69</v>
      </c>
    </row>
    <row r="443" spans="1:18" s="56" customFormat="1" ht="24" x14ac:dyDescent="0.2">
      <c r="A443" s="73" t="s">
        <v>308</v>
      </c>
      <c r="B443" s="73" t="s">
        <v>785</v>
      </c>
      <c r="C443" s="74" t="s">
        <v>786</v>
      </c>
      <c r="D443" s="73" t="s">
        <v>102</v>
      </c>
      <c r="E443" s="75">
        <v>8</v>
      </c>
      <c r="F443" s="75"/>
      <c r="G443" s="75"/>
      <c r="H443" s="75">
        <f t="shared" si="69"/>
        <v>128.66</v>
      </c>
      <c r="I443" s="75">
        <f t="shared" si="70"/>
        <v>164.16</v>
      </c>
      <c r="J443" s="76">
        <f t="shared" si="71"/>
        <v>1029.28</v>
      </c>
      <c r="K443" s="76">
        <f t="shared" si="72"/>
        <v>1313.28</v>
      </c>
      <c r="L443" s="76"/>
      <c r="M443" s="76"/>
      <c r="N443" s="76"/>
      <c r="O443" s="51"/>
      <c r="R443" s="53">
        <v>128.66</v>
      </c>
    </row>
    <row r="444" spans="1:18" s="56" customFormat="1" ht="24" x14ac:dyDescent="0.2">
      <c r="A444" s="73" t="s">
        <v>308</v>
      </c>
      <c r="B444" s="73" t="s">
        <v>787</v>
      </c>
      <c r="C444" s="74" t="s">
        <v>788</v>
      </c>
      <c r="D444" s="73" t="s">
        <v>102</v>
      </c>
      <c r="E444" s="75">
        <v>40</v>
      </c>
      <c r="F444" s="75"/>
      <c r="G444" s="75"/>
      <c r="H444" s="75">
        <f t="shared" si="69"/>
        <v>61.54</v>
      </c>
      <c r="I444" s="75">
        <f t="shared" si="70"/>
        <v>78.52</v>
      </c>
      <c r="J444" s="76">
        <f t="shared" si="71"/>
        <v>2461.6</v>
      </c>
      <c r="K444" s="76">
        <f t="shared" si="72"/>
        <v>3140.8</v>
      </c>
      <c r="L444" s="76"/>
      <c r="M444" s="76"/>
      <c r="N444" s="76"/>
      <c r="O444" s="51"/>
      <c r="R444" s="53">
        <v>61.54</v>
      </c>
    </row>
    <row r="445" spans="1:18" s="56" customFormat="1" ht="12" x14ac:dyDescent="0.2">
      <c r="A445" s="73" t="s">
        <v>308</v>
      </c>
      <c r="B445" s="73" t="s">
        <v>789</v>
      </c>
      <c r="C445" s="74" t="s">
        <v>790</v>
      </c>
      <c r="D445" s="73" t="s">
        <v>102</v>
      </c>
      <c r="E445" s="75">
        <v>1</v>
      </c>
      <c r="F445" s="75"/>
      <c r="G445" s="75"/>
      <c r="H445" s="75">
        <f t="shared" si="69"/>
        <v>23.8</v>
      </c>
      <c r="I445" s="75">
        <f t="shared" si="70"/>
        <v>30.37</v>
      </c>
      <c r="J445" s="76">
        <f t="shared" si="71"/>
        <v>23.8</v>
      </c>
      <c r="K445" s="76">
        <f t="shared" si="72"/>
        <v>30.37</v>
      </c>
      <c r="L445" s="76"/>
      <c r="M445" s="76"/>
      <c r="N445" s="76"/>
      <c r="O445" s="51"/>
      <c r="R445" s="53">
        <v>23.8</v>
      </c>
    </row>
    <row r="446" spans="1:18" s="56" customFormat="1" ht="12" x14ac:dyDescent="0.2">
      <c r="A446" s="73" t="s">
        <v>308</v>
      </c>
      <c r="B446" s="73" t="s">
        <v>791</v>
      </c>
      <c r="C446" s="74" t="s">
        <v>792</v>
      </c>
      <c r="D446" s="73" t="s">
        <v>102</v>
      </c>
      <c r="E446" s="75">
        <v>4</v>
      </c>
      <c r="F446" s="75"/>
      <c r="G446" s="75"/>
      <c r="H446" s="75">
        <f t="shared" si="69"/>
        <v>39.9</v>
      </c>
      <c r="I446" s="75">
        <f t="shared" si="70"/>
        <v>50.91</v>
      </c>
      <c r="J446" s="76">
        <f t="shared" si="71"/>
        <v>159.6</v>
      </c>
      <c r="K446" s="76">
        <f t="shared" si="72"/>
        <v>203.64</v>
      </c>
      <c r="L446" s="76"/>
      <c r="M446" s="76"/>
      <c r="N446" s="76"/>
      <c r="O446" s="51"/>
      <c r="R446" s="53">
        <v>39.9</v>
      </c>
    </row>
    <row r="447" spans="1:18" s="56" customFormat="1" ht="12" x14ac:dyDescent="0.2">
      <c r="A447" s="73" t="s">
        <v>308</v>
      </c>
      <c r="B447" s="73" t="s">
        <v>793</v>
      </c>
      <c r="C447" s="74" t="s">
        <v>794</v>
      </c>
      <c r="D447" s="73" t="s">
        <v>102</v>
      </c>
      <c r="E447" s="75">
        <v>4</v>
      </c>
      <c r="F447" s="75"/>
      <c r="G447" s="75"/>
      <c r="H447" s="75">
        <f t="shared" si="69"/>
        <v>12.92</v>
      </c>
      <c r="I447" s="75">
        <f t="shared" si="70"/>
        <v>16.48</v>
      </c>
      <c r="J447" s="76">
        <f t="shared" si="71"/>
        <v>51.68</v>
      </c>
      <c r="K447" s="76">
        <f t="shared" si="72"/>
        <v>65.92</v>
      </c>
      <c r="L447" s="76"/>
      <c r="M447" s="76"/>
      <c r="N447" s="76"/>
      <c r="O447" s="51"/>
      <c r="R447" s="53">
        <v>12.92</v>
      </c>
    </row>
    <row r="448" spans="1:18" s="56" customFormat="1" ht="12" x14ac:dyDescent="0.2">
      <c r="A448" s="73" t="s">
        <v>308</v>
      </c>
      <c r="B448" s="73" t="s">
        <v>795</v>
      </c>
      <c r="C448" s="74" t="s">
        <v>796</v>
      </c>
      <c r="D448" s="73" t="s">
        <v>102</v>
      </c>
      <c r="E448" s="75">
        <v>18</v>
      </c>
      <c r="F448" s="75"/>
      <c r="G448" s="75"/>
      <c r="H448" s="75">
        <f t="shared" si="69"/>
        <v>3.73</v>
      </c>
      <c r="I448" s="75">
        <f t="shared" si="70"/>
        <v>4.76</v>
      </c>
      <c r="J448" s="76">
        <f t="shared" si="71"/>
        <v>67.14</v>
      </c>
      <c r="K448" s="76">
        <f t="shared" si="72"/>
        <v>85.68</v>
      </c>
      <c r="L448" s="76"/>
      <c r="M448" s="76"/>
      <c r="N448" s="76"/>
      <c r="O448" s="51"/>
      <c r="R448" s="53">
        <v>3.73</v>
      </c>
    </row>
    <row r="449" spans="1:18" s="56" customFormat="1" ht="12" x14ac:dyDescent="0.2">
      <c r="A449" s="73" t="s">
        <v>308</v>
      </c>
      <c r="B449" s="73" t="s">
        <v>797</v>
      </c>
      <c r="C449" s="74" t="s">
        <v>798</v>
      </c>
      <c r="D449" s="73" t="s">
        <v>102</v>
      </c>
      <c r="E449" s="75">
        <v>6</v>
      </c>
      <c r="F449" s="75"/>
      <c r="G449" s="75"/>
      <c r="H449" s="75">
        <f t="shared" si="69"/>
        <v>3.01</v>
      </c>
      <c r="I449" s="75">
        <f t="shared" si="70"/>
        <v>3.84</v>
      </c>
      <c r="J449" s="76">
        <f t="shared" si="71"/>
        <v>18.059999999999999</v>
      </c>
      <c r="K449" s="76">
        <f t="shared" si="72"/>
        <v>23.04</v>
      </c>
      <c r="L449" s="76"/>
      <c r="M449" s="76"/>
      <c r="N449" s="76"/>
      <c r="O449" s="51"/>
      <c r="R449" s="53">
        <v>3.01</v>
      </c>
    </row>
    <row r="450" spans="1:18" s="56" customFormat="1" ht="12" x14ac:dyDescent="0.2">
      <c r="A450" s="72"/>
      <c r="B450" s="85">
        <v>44139</v>
      </c>
      <c r="C450" s="71" t="s">
        <v>799</v>
      </c>
      <c r="D450" s="72"/>
      <c r="E450" s="72"/>
      <c r="F450" s="72"/>
      <c r="G450" s="72"/>
      <c r="H450" s="75"/>
      <c r="I450" s="72"/>
      <c r="J450" s="72"/>
      <c r="K450" s="72"/>
      <c r="L450" s="72"/>
      <c r="M450" s="72"/>
      <c r="N450" s="72"/>
      <c r="O450" s="52"/>
      <c r="R450" s="52"/>
    </row>
    <row r="451" spans="1:18" s="56" customFormat="1" ht="12" x14ac:dyDescent="0.2">
      <c r="A451" s="94">
        <v>98108</v>
      </c>
      <c r="B451" s="73" t="s">
        <v>800</v>
      </c>
      <c r="C451" s="74" t="s">
        <v>801</v>
      </c>
      <c r="D451" s="73" t="s">
        <v>102</v>
      </c>
      <c r="E451" s="75">
        <v>1</v>
      </c>
      <c r="F451" s="75"/>
      <c r="G451" s="75"/>
      <c r="H451" s="75">
        <f>ROUND(R451*$R$12,2)</f>
        <v>347.61</v>
      </c>
      <c r="I451" s="75">
        <f>ROUND(H451*(1+$S$1),2)</f>
        <v>443.52</v>
      </c>
      <c r="J451" s="76">
        <f>ROUND(E451*H451,2)</f>
        <v>347.61</v>
      </c>
      <c r="K451" s="76">
        <f>ROUND(E451*I451,2)</f>
        <v>443.52</v>
      </c>
      <c r="L451" s="76"/>
      <c r="M451" s="76"/>
      <c r="N451" s="76"/>
      <c r="O451" s="51"/>
      <c r="R451" s="53">
        <v>347.61</v>
      </c>
    </row>
    <row r="452" spans="1:18" s="56" customFormat="1" ht="12" x14ac:dyDescent="0.2">
      <c r="A452" s="94">
        <v>98106</v>
      </c>
      <c r="B452" s="73" t="s">
        <v>802</v>
      </c>
      <c r="C452" s="74" t="s">
        <v>803</v>
      </c>
      <c r="D452" s="73" t="s">
        <v>102</v>
      </c>
      <c r="E452" s="75">
        <v>1</v>
      </c>
      <c r="F452" s="75"/>
      <c r="G452" s="75"/>
      <c r="H452" s="75">
        <f>ROUND(R452*$R$12,2)</f>
        <v>786.65</v>
      </c>
      <c r="I452" s="75">
        <f>ROUND(H452*(1+$S$1),2)</f>
        <v>1003.69</v>
      </c>
      <c r="J452" s="76">
        <f>ROUND(E452*H452,2)</f>
        <v>786.65</v>
      </c>
      <c r="K452" s="76">
        <f>ROUND(E452*I452,2)</f>
        <v>1003.69</v>
      </c>
      <c r="L452" s="76"/>
      <c r="M452" s="76"/>
      <c r="N452" s="76"/>
      <c r="O452" s="51"/>
      <c r="R452" s="53">
        <v>786.65</v>
      </c>
    </row>
    <row r="453" spans="1:18" s="56" customFormat="1" ht="24" x14ac:dyDescent="0.2">
      <c r="A453" s="73" t="s">
        <v>308</v>
      </c>
      <c r="B453" s="73" t="s">
        <v>804</v>
      </c>
      <c r="C453" s="74" t="s">
        <v>805</v>
      </c>
      <c r="D453" s="73" t="s">
        <v>102</v>
      </c>
      <c r="E453" s="75">
        <v>2</v>
      </c>
      <c r="F453" s="75"/>
      <c r="G453" s="75"/>
      <c r="H453" s="75">
        <f>ROUND(R453*$R$12,2)</f>
        <v>205.99</v>
      </c>
      <c r="I453" s="75">
        <f>ROUND(H453*(1+$S$1),2)</f>
        <v>262.82</v>
      </c>
      <c r="J453" s="76">
        <f>ROUND(E453*H453,2)</f>
        <v>411.98</v>
      </c>
      <c r="K453" s="76">
        <f>ROUND(E453*I453,2)</f>
        <v>525.64</v>
      </c>
      <c r="L453" s="76"/>
      <c r="M453" s="76"/>
      <c r="N453" s="76"/>
      <c r="O453" s="51"/>
      <c r="R453" s="53">
        <v>205.99</v>
      </c>
    </row>
    <row r="454" spans="1:18" s="56" customFormat="1" ht="12" x14ac:dyDescent="0.2">
      <c r="A454" s="72"/>
      <c r="B454" s="85">
        <v>44140</v>
      </c>
      <c r="C454" s="71" t="s">
        <v>806</v>
      </c>
      <c r="D454" s="72"/>
      <c r="E454" s="72"/>
      <c r="F454" s="72"/>
      <c r="G454" s="72"/>
      <c r="H454" s="75"/>
      <c r="I454" s="72"/>
      <c r="J454" s="72"/>
      <c r="K454" s="72"/>
      <c r="L454" s="72"/>
      <c r="M454" s="72"/>
      <c r="N454" s="72"/>
      <c r="O454" s="52"/>
      <c r="R454" s="52"/>
    </row>
    <row r="455" spans="1:18" s="56" customFormat="1" ht="12" x14ac:dyDescent="0.2">
      <c r="A455" s="94">
        <v>39320</v>
      </c>
      <c r="B455" s="73" t="s">
        <v>807</v>
      </c>
      <c r="C455" s="74" t="s">
        <v>808</v>
      </c>
      <c r="D455" s="73" t="s">
        <v>102</v>
      </c>
      <c r="E455" s="75">
        <v>9</v>
      </c>
      <c r="F455" s="75"/>
      <c r="G455" s="75"/>
      <c r="H455" s="75">
        <f>ROUND(R455*$R$12,2)</f>
        <v>5.18</v>
      </c>
      <c r="I455" s="75">
        <f>ROUND(H455*(1+$S$1),2)</f>
        <v>6.61</v>
      </c>
      <c r="J455" s="76">
        <f>ROUND(E455*H455,2)</f>
        <v>46.62</v>
      </c>
      <c r="K455" s="76">
        <f>ROUND(E455*I455,2)</f>
        <v>59.49</v>
      </c>
      <c r="L455" s="76"/>
      <c r="M455" s="76"/>
      <c r="N455" s="76"/>
      <c r="O455" s="51"/>
      <c r="R455" s="53">
        <v>5.18</v>
      </c>
    </row>
    <row r="456" spans="1:18" s="56" customFormat="1" ht="12" x14ac:dyDescent="0.2">
      <c r="A456" s="94">
        <v>39319</v>
      </c>
      <c r="B456" s="73" t="s">
        <v>809</v>
      </c>
      <c r="C456" s="74" t="s">
        <v>810</v>
      </c>
      <c r="D456" s="73" t="s">
        <v>102</v>
      </c>
      <c r="E456" s="75">
        <v>6</v>
      </c>
      <c r="F456" s="75"/>
      <c r="G456" s="75"/>
      <c r="H456" s="75">
        <f>ROUND(R456*$R$12,2)</f>
        <v>4.34</v>
      </c>
      <c r="I456" s="75">
        <f>ROUND(H456*(1+$S$1),2)</f>
        <v>5.54</v>
      </c>
      <c r="J456" s="76">
        <f>ROUND(E456*H456,2)</f>
        <v>26.04</v>
      </c>
      <c r="K456" s="76">
        <f>ROUND(E456*I456,2)</f>
        <v>33.24</v>
      </c>
      <c r="L456" s="76"/>
      <c r="M456" s="76"/>
      <c r="N456" s="76"/>
      <c r="O456" s="51"/>
      <c r="R456" s="53">
        <v>4.34</v>
      </c>
    </row>
    <row r="457" spans="1:18" s="56" customFormat="1" ht="12" x14ac:dyDescent="0.2">
      <c r="A457" s="72"/>
      <c r="B457" s="85">
        <v>44141</v>
      </c>
      <c r="C457" s="71" t="s">
        <v>811</v>
      </c>
      <c r="D457" s="72"/>
      <c r="E457" s="72"/>
      <c r="F457" s="72"/>
      <c r="G457" s="72"/>
      <c r="H457" s="75"/>
      <c r="I457" s="72"/>
      <c r="J457" s="72"/>
      <c r="K457" s="72"/>
      <c r="L457" s="72"/>
      <c r="M457" s="72"/>
      <c r="N457" s="72"/>
      <c r="O457" s="52"/>
      <c r="R457" s="52"/>
    </row>
    <row r="458" spans="1:18" s="56" customFormat="1" ht="12" x14ac:dyDescent="0.2">
      <c r="A458" s="73" t="s">
        <v>78</v>
      </c>
      <c r="B458" s="73" t="s">
        <v>812</v>
      </c>
      <c r="C458" s="74" t="s">
        <v>813</v>
      </c>
      <c r="D458" s="73" t="s">
        <v>102</v>
      </c>
      <c r="E458" s="75">
        <v>11</v>
      </c>
      <c r="F458" s="75"/>
      <c r="G458" s="75"/>
      <c r="H458" s="75">
        <f>ROUND(R458*$R$12,2)</f>
        <v>376.56</v>
      </c>
      <c r="I458" s="75">
        <f>ROUND(H458*(1+$S$1),2)</f>
        <v>480.45</v>
      </c>
      <c r="J458" s="76">
        <f>ROUND(E458*H458,2)</f>
        <v>4142.16</v>
      </c>
      <c r="K458" s="76">
        <f>ROUND(E458*I458,2)</f>
        <v>5284.95</v>
      </c>
      <c r="L458" s="76"/>
      <c r="M458" s="76"/>
      <c r="N458" s="76"/>
      <c r="O458" s="51"/>
      <c r="R458" s="53">
        <v>376.56</v>
      </c>
    </row>
    <row r="459" spans="1:18" s="56" customFormat="1" ht="24" x14ac:dyDescent="0.2">
      <c r="A459" s="73" t="s">
        <v>308</v>
      </c>
      <c r="B459" s="73" t="s">
        <v>814</v>
      </c>
      <c r="C459" s="74" t="s">
        <v>815</v>
      </c>
      <c r="D459" s="73" t="s">
        <v>102</v>
      </c>
      <c r="E459" s="75">
        <v>13</v>
      </c>
      <c r="F459" s="75"/>
      <c r="G459" s="75"/>
      <c r="H459" s="75">
        <f>ROUND(R459*$R$12,2)</f>
        <v>205.99</v>
      </c>
      <c r="I459" s="75">
        <f>ROUND(H459*(1+$S$1),2)</f>
        <v>262.82</v>
      </c>
      <c r="J459" s="76">
        <f>ROUND(E459*H459,2)</f>
        <v>2677.87</v>
      </c>
      <c r="K459" s="76">
        <f>ROUND(E459*I459,2)</f>
        <v>3416.66</v>
      </c>
      <c r="L459" s="76"/>
      <c r="M459" s="76"/>
      <c r="N459" s="76"/>
      <c r="O459" s="51"/>
      <c r="R459" s="53">
        <v>205.99</v>
      </c>
    </row>
    <row r="460" spans="1:18" s="56" customFormat="1" ht="12" x14ac:dyDescent="0.2">
      <c r="A460" s="73" t="s">
        <v>78</v>
      </c>
      <c r="B460" s="73" t="s">
        <v>816</v>
      </c>
      <c r="C460" s="74" t="s">
        <v>817</v>
      </c>
      <c r="D460" s="73" t="s">
        <v>102</v>
      </c>
      <c r="E460" s="75">
        <v>2</v>
      </c>
      <c r="F460" s="75"/>
      <c r="G460" s="75"/>
      <c r="H460" s="75">
        <f>ROUND(R460*$R$12,2)</f>
        <v>472.96</v>
      </c>
      <c r="I460" s="75">
        <f>ROUND(H460*(1+$S$1),2)</f>
        <v>603.45000000000005</v>
      </c>
      <c r="J460" s="76">
        <f>ROUND(E460*H460,2)</f>
        <v>945.92</v>
      </c>
      <c r="K460" s="76">
        <f>ROUND(E460*I460,2)</f>
        <v>1206.9000000000001</v>
      </c>
      <c r="L460" s="76"/>
      <c r="M460" s="76"/>
      <c r="N460" s="76"/>
      <c r="O460" s="51"/>
      <c r="R460" s="53">
        <v>472.96</v>
      </c>
    </row>
    <row r="461" spans="1:18" s="56" customFormat="1" ht="12" x14ac:dyDescent="0.2">
      <c r="A461" s="72"/>
      <c r="B461" s="85">
        <v>44142</v>
      </c>
      <c r="C461" s="71" t="s">
        <v>703</v>
      </c>
      <c r="D461" s="72"/>
      <c r="E461" s="72"/>
      <c r="F461" s="72"/>
      <c r="G461" s="72"/>
      <c r="H461" s="75"/>
      <c r="I461" s="72"/>
      <c r="J461" s="72"/>
      <c r="K461" s="72"/>
      <c r="L461" s="72"/>
      <c r="M461" s="72"/>
      <c r="N461" s="72"/>
      <c r="O461" s="52"/>
      <c r="R461" s="52"/>
    </row>
    <row r="462" spans="1:18" s="56" customFormat="1" ht="24" x14ac:dyDescent="0.2">
      <c r="A462" s="73" t="s">
        <v>818</v>
      </c>
      <c r="B462" s="73" t="s">
        <v>819</v>
      </c>
      <c r="C462" s="74" t="s">
        <v>820</v>
      </c>
      <c r="D462" s="73" t="s">
        <v>102</v>
      </c>
      <c r="E462" s="75">
        <v>1</v>
      </c>
      <c r="F462" s="75"/>
      <c r="G462" s="75"/>
      <c r="H462" s="75">
        <f>ROUND(R462*$R$12,2)</f>
        <v>3604.47</v>
      </c>
      <c r="I462" s="75">
        <f>ROUND(H462*(1+$S$1),2)</f>
        <v>4598.9399999999996</v>
      </c>
      <c r="J462" s="76">
        <f>ROUND(E462*H462,2)</f>
        <v>3604.47</v>
      </c>
      <c r="K462" s="76">
        <f>ROUND(E462*I462,2)</f>
        <v>4598.9399999999996</v>
      </c>
      <c r="L462" s="76"/>
      <c r="M462" s="76"/>
      <c r="N462" s="76"/>
      <c r="O462" s="51"/>
      <c r="R462" s="51">
        <v>3604.47</v>
      </c>
    </row>
    <row r="463" spans="1:18" s="56" customFormat="1" ht="24" x14ac:dyDescent="0.2">
      <c r="A463" s="73" t="s">
        <v>308</v>
      </c>
      <c r="B463" s="73" t="s">
        <v>821</v>
      </c>
      <c r="C463" s="74" t="s">
        <v>822</v>
      </c>
      <c r="D463" s="73" t="s">
        <v>102</v>
      </c>
      <c r="E463" s="75">
        <v>1</v>
      </c>
      <c r="F463" s="75"/>
      <c r="G463" s="75"/>
      <c r="H463" s="75">
        <f>ROUND(R463*$R$12,2)</f>
        <v>308.99</v>
      </c>
      <c r="I463" s="75">
        <f>ROUND(H463*(1+$S$1),2)</f>
        <v>394.24</v>
      </c>
      <c r="J463" s="76">
        <f>ROUND(E463*H463,2)</f>
        <v>308.99</v>
      </c>
      <c r="K463" s="76">
        <f>ROUND(E463*I463,2)</f>
        <v>394.24</v>
      </c>
      <c r="L463" s="76"/>
      <c r="M463" s="76"/>
      <c r="N463" s="76"/>
      <c r="O463" s="51"/>
      <c r="R463" s="53">
        <v>308.99</v>
      </c>
    </row>
    <row r="464" spans="1:18" s="56" customFormat="1" ht="12" x14ac:dyDescent="0.2">
      <c r="A464" s="72"/>
      <c r="B464" s="71"/>
      <c r="C464" s="71"/>
      <c r="D464" s="71"/>
      <c r="E464" s="71"/>
      <c r="F464" s="71"/>
      <c r="G464" s="71"/>
      <c r="H464" s="75"/>
      <c r="I464" s="77" t="s">
        <v>823</v>
      </c>
      <c r="J464" s="78">
        <f>SUM(J392:J463)</f>
        <v>41609.429999999993</v>
      </c>
      <c r="K464" s="78">
        <f>SUM(K392:K463)</f>
        <v>53090.01999999999</v>
      </c>
      <c r="L464" s="78"/>
      <c r="M464" s="78"/>
      <c r="N464" s="78"/>
      <c r="O464" s="60"/>
      <c r="P464" s="58"/>
      <c r="R464" s="59"/>
    </row>
    <row r="465" spans="1:18" s="56" customFormat="1" ht="12" x14ac:dyDescent="0.2">
      <c r="A465" s="72"/>
      <c r="B465" s="69"/>
      <c r="C465" s="82"/>
      <c r="D465" s="72"/>
      <c r="E465" s="72"/>
      <c r="F465" s="72"/>
      <c r="G465" s="72"/>
      <c r="H465" s="75"/>
      <c r="I465" s="72"/>
      <c r="J465" s="72"/>
      <c r="K465" s="72"/>
      <c r="L465" s="72"/>
      <c r="M465" s="72"/>
      <c r="N465" s="72"/>
      <c r="O465" s="52"/>
      <c r="R465" s="52"/>
    </row>
    <row r="466" spans="1:18" s="56" customFormat="1" ht="12" x14ac:dyDescent="0.2">
      <c r="A466" s="72"/>
      <c r="B466" s="70" t="s">
        <v>824</v>
      </c>
      <c r="C466" s="71" t="s">
        <v>825</v>
      </c>
      <c r="D466" s="72"/>
      <c r="E466" s="72"/>
      <c r="F466" s="72"/>
      <c r="G466" s="72"/>
      <c r="H466" s="75"/>
      <c r="I466" s="72"/>
      <c r="J466" s="72"/>
      <c r="K466" s="72"/>
      <c r="L466" s="72"/>
      <c r="M466" s="72"/>
      <c r="N466" s="72"/>
      <c r="O466" s="52"/>
      <c r="R466" s="52"/>
    </row>
    <row r="467" spans="1:18" s="56" customFormat="1" ht="12" x14ac:dyDescent="0.2">
      <c r="A467" s="72"/>
      <c r="B467" s="70" t="s">
        <v>826</v>
      </c>
      <c r="C467" s="71" t="s">
        <v>827</v>
      </c>
      <c r="D467" s="72"/>
      <c r="E467" s="72"/>
      <c r="F467" s="72"/>
      <c r="G467" s="72"/>
      <c r="H467" s="75"/>
      <c r="I467" s="72"/>
      <c r="J467" s="72"/>
      <c r="K467" s="72"/>
      <c r="L467" s="72"/>
      <c r="M467" s="72"/>
      <c r="N467" s="72"/>
      <c r="O467" s="52"/>
      <c r="R467" s="52"/>
    </row>
    <row r="468" spans="1:18" s="56" customFormat="1" ht="36" x14ac:dyDescent="0.2">
      <c r="A468" s="94">
        <v>96985</v>
      </c>
      <c r="B468" s="80">
        <v>44197</v>
      </c>
      <c r="C468" s="82" t="s">
        <v>863</v>
      </c>
      <c r="D468" s="73" t="s">
        <v>102</v>
      </c>
      <c r="E468" s="75">
        <v>3</v>
      </c>
      <c r="F468" s="75"/>
      <c r="G468" s="75"/>
      <c r="H468" s="75">
        <f>ROUND(R468*$R$12,2)</f>
        <v>38.270000000000003</v>
      </c>
      <c r="I468" s="75">
        <f>ROUND(H468*(1+$S$1),2)</f>
        <v>48.83</v>
      </c>
      <c r="J468" s="76">
        <f>ROUND(E468*H468,2)</f>
        <v>114.81</v>
      </c>
      <c r="K468" s="76">
        <f>ROUND(E468*I468,2)</f>
        <v>146.49</v>
      </c>
      <c r="L468" s="76"/>
      <c r="M468" s="76"/>
      <c r="N468" s="76"/>
      <c r="O468" s="51"/>
      <c r="R468" s="53">
        <v>38.270000000000003</v>
      </c>
    </row>
    <row r="469" spans="1:18" s="56" customFormat="1" ht="24" x14ac:dyDescent="0.2">
      <c r="A469" s="94">
        <v>98111</v>
      </c>
      <c r="B469" s="80">
        <v>44198</v>
      </c>
      <c r="C469" s="74" t="s">
        <v>828</v>
      </c>
      <c r="D469" s="73" t="s">
        <v>102</v>
      </c>
      <c r="E469" s="75">
        <v>1</v>
      </c>
      <c r="F469" s="75"/>
      <c r="G469" s="75"/>
      <c r="H469" s="75">
        <f>ROUND(R469*$R$12,2)</f>
        <v>17.170000000000002</v>
      </c>
      <c r="I469" s="75">
        <f>ROUND(H469*(1+$S$1),2)</f>
        <v>21.91</v>
      </c>
      <c r="J469" s="76">
        <f>ROUND(E469*H469,2)</f>
        <v>17.170000000000002</v>
      </c>
      <c r="K469" s="76">
        <f>ROUND(E469*I469,2)</f>
        <v>21.91</v>
      </c>
      <c r="L469" s="76"/>
      <c r="M469" s="76"/>
      <c r="N469" s="76"/>
      <c r="O469" s="51"/>
      <c r="R469" s="53">
        <v>17.170000000000002</v>
      </c>
    </row>
    <row r="470" spans="1:18" s="56" customFormat="1" ht="24" x14ac:dyDescent="0.2">
      <c r="A470" s="94">
        <v>39862</v>
      </c>
      <c r="B470" s="80">
        <v>44199</v>
      </c>
      <c r="C470" s="74" t="s">
        <v>829</v>
      </c>
      <c r="D470" s="73" t="s">
        <v>102</v>
      </c>
      <c r="E470" s="75">
        <v>3</v>
      </c>
      <c r="F470" s="75"/>
      <c r="G470" s="75"/>
      <c r="H470" s="75">
        <f>ROUND(R470*$R$12,2)</f>
        <v>5.62</v>
      </c>
      <c r="I470" s="75">
        <f>ROUND(H470*(1+$S$1),2)</f>
        <v>7.17</v>
      </c>
      <c r="J470" s="76">
        <f>ROUND(E470*H470,2)</f>
        <v>16.86</v>
      </c>
      <c r="K470" s="76">
        <f>ROUND(E470*I470,2)</f>
        <v>21.51</v>
      </c>
      <c r="L470" s="76"/>
      <c r="M470" s="76"/>
      <c r="N470" s="76"/>
      <c r="O470" s="51"/>
      <c r="R470" s="53">
        <v>5.62</v>
      </c>
    </row>
    <row r="471" spans="1:18" s="56" customFormat="1" ht="12" x14ac:dyDescent="0.2">
      <c r="A471" s="72"/>
      <c r="B471" s="71"/>
      <c r="C471" s="71"/>
      <c r="D471" s="71"/>
      <c r="E471" s="71"/>
      <c r="F471" s="71"/>
      <c r="G471" s="71"/>
      <c r="H471" s="75"/>
      <c r="I471" s="77" t="s">
        <v>830</v>
      </c>
      <c r="J471" s="86">
        <f>SUM(J468:J470)</f>
        <v>148.84000000000003</v>
      </c>
      <c r="K471" s="86">
        <f>SUM(K468:K470)</f>
        <v>189.91</v>
      </c>
      <c r="L471" s="86"/>
      <c r="M471" s="86"/>
      <c r="N471" s="86"/>
      <c r="O471" s="62"/>
      <c r="R471" s="59"/>
    </row>
    <row r="472" spans="1:18" s="56" customFormat="1" ht="12" x14ac:dyDescent="0.2">
      <c r="A472" s="72"/>
      <c r="B472" s="70" t="s">
        <v>831</v>
      </c>
      <c r="C472" s="71" t="s">
        <v>832</v>
      </c>
      <c r="D472" s="72"/>
      <c r="E472" s="72"/>
      <c r="F472" s="72"/>
      <c r="G472" s="72"/>
      <c r="H472" s="75"/>
      <c r="I472" s="72"/>
      <c r="J472" s="72"/>
      <c r="K472" s="72"/>
      <c r="L472" s="72"/>
      <c r="M472" s="72"/>
      <c r="N472" s="72"/>
      <c r="O472" s="52"/>
      <c r="R472" s="52"/>
    </row>
    <row r="473" spans="1:18" s="56" customFormat="1" ht="12" x14ac:dyDescent="0.2">
      <c r="A473" s="94">
        <v>96974</v>
      </c>
      <c r="B473" s="80">
        <v>44228</v>
      </c>
      <c r="C473" s="74" t="s">
        <v>833</v>
      </c>
      <c r="D473" s="73" t="s">
        <v>81</v>
      </c>
      <c r="E473" s="75">
        <v>15</v>
      </c>
      <c r="F473" s="75"/>
      <c r="G473" s="75"/>
      <c r="H473" s="75">
        <f>ROUND(R473*$R$12,2)</f>
        <v>36.83</v>
      </c>
      <c r="I473" s="75">
        <f>ROUND(H473*(1+$S$1),2)</f>
        <v>46.99</v>
      </c>
      <c r="J473" s="76">
        <f>ROUND(E473*H473,2)</f>
        <v>552.45000000000005</v>
      </c>
      <c r="K473" s="76">
        <f>ROUND(E473*I473,2)</f>
        <v>704.85</v>
      </c>
      <c r="L473" s="76"/>
      <c r="M473" s="76"/>
      <c r="N473" s="76"/>
      <c r="O473" s="51"/>
      <c r="R473" s="53">
        <v>36.83</v>
      </c>
    </row>
    <row r="474" spans="1:18" s="56" customFormat="1" ht="12" x14ac:dyDescent="0.2">
      <c r="A474" s="94">
        <v>96973</v>
      </c>
      <c r="B474" s="80">
        <v>44229</v>
      </c>
      <c r="C474" s="74" t="s">
        <v>834</v>
      </c>
      <c r="D474" s="73" t="s">
        <v>81</v>
      </c>
      <c r="E474" s="75">
        <v>8</v>
      </c>
      <c r="F474" s="75"/>
      <c r="G474" s="75"/>
      <c r="H474" s="75">
        <f>ROUND(R474*$R$12,2)</f>
        <v>29.32</v>
      </c>
      <c r="I474" s="75">
        <f>ROUND(H474*(1+$S$1),2)</f>
        <v>37.409999999999997</v>
      </c>
      <c r="J474" s="76">
        <f>ROUND(E474*H474,2)</f>
        <v>234.56</v>
      </c>
      <c r="K474" s="76">
        <f>ROUND(E474*I474,2)</f>
        <v>299.27999999999997</v>
      </c>
      <c r="L474" s="76"/>
      <c r="M474" s="76"/>
      <c r="N474" s="76"/>
      <c r="O474" s="51"/>
      <c r="R474" s="53">
        <v>29.32</v>
      </c>
    </row>
    <row r="475" spans="1:18" s="56" customFormat="1" ht="12" x14ac:dyDescent="0.2">
      <c r="A475" s="72"/>
      <c r="B475" s="71"/>
      <c r="C475" s="71"/>
      <c r="D475" s="71"/>
      <c r="E475" s="71"/>
      <c r="F475" s="71"/>
      <c r="G475" s="71"/>
      <c r="H475" s="75"/>
      <c r="I475" s="77" t="s">
        <v>835</v>
      </c>
      <c r="J475" s="86">
        <f>SUM(J472:J474)</f>
        <v>787.01</v>
      </c>
      <c r="K475" s="86">
        <f>SUM(K472:K474)</f>
        <v>1004.13</v>
      </c>
      <c r="L475" s="86"/>
      <c r="M475" s="86"/>
      <c r="N475" s="86"/>
      <c r="O475" s="62"/>
      <c r="R475" s="59"/>
    </row>
    <row r="476" spans="1:18" s="56" customFormat="1" ht="12" x14ac:dyDescent="0.2">
      <c r="A476" s="72"/>
      <c r="B476" s="70" t="s">
        <v>836</v>
      </c>
      <c r="C476" s="71" t="s">
        <v>837</v>
      </c>
      <c r="D476" s="72"/>
      <c r="E476" s="72"/>
      <c r="F476" s="72"/>
      <c r="G476" s="72"/>
      <c r="H476" s="75"/>
      <c r="I476" s="72"/>
      <c r="J476" s="72"/>
      <c r="K476" s="72"/>
      <c r="L476" s="72"/>
      <c r="M476" s="72"/>
      <c r="N476" s="72"/>
      <c r="O476" s="52"/>
      <c r="R476" s="52"/>
    </row>
    <row r="477" spans="1:18" s="56" customFormat="1" ht="48" x14ac:dyDescent="0.2">
      <c r="A477" s="96" t="s">
        <v>838</v>
      </c>
      <c r="B477" s="80">
        <v>44256</v>
      </c>
      <c r="C477" s="74" t="s">
        <v>839</v>
      </c>
      <c r="D477" s="73" t="s">
        <v>102</v>
      </c>
      <c r="E477" s="75">
        <v>1</v>
      </c>
      <c r="F477" s="75"/>
      <c r="G477" s="75"/>
      <c r="H477" s="75">
        <f t="shared" ref="H477:H482" si="73">ROUND(R477*$R$12,2)</f>
        <v>1679.04</v>
      </c>
      <c r="I477" s="75">
        <f t="shared" ref="I477:I482" si="74">ROUND(H477*(1+$S$1),2)</f>
        <v>2142.29</v>
      </c>
      <c r="J477" s="76">
        <f t="shared" ref="J477:J482" si="75">ROUND(E477*H477,2)</f>
        <v>1679.04</v>
      </c>
      <c r="K477" s="76">
        <f t="shared" ref="K477:K482" si="76">ROUND(E477*I477,2)</f>
        <v>2142.29</v>
      </c>
      <c r="L477" s="76"/>
      <c r="M477" s="76"/>
      <c r="N477" s="76"/>
      <c r="O477" s="51"/>
      <c r="R477" s="51">
        <v>1679.04</v>
      </c>
    </row>
    <row r="478" spans="1:18" s="56" customFormat="1" ht="36" x14ac:dyDescent="0.2">
      <c r="A478" s="73" t="s">
        <v>840</v>
      </c>
      <c r="B478" s="80">
        <v>44257</v>
      </c>
      <c r="C478" s="74" t="s">
        <v>841</v>
      </c>
      <c r="D478" s="73" t="s">
        <v>102</v>
      </c>
      <c r="E478" s="75">
        <v>1</v>
      </c>
      <c r="F478" s="75"/>
      <c r="G478" s="75"/>
      <c r="H478" s="75">
        <f t="shared" si="73"/>
        <v>214.05</v>
      </c>
      <c r="I478" s="75">
        <f t="shared" si="74"/>
        <v>273.11</v>
      </c>
      <c r="J478" s="76">
        <f t="shared" si="75"/>
        <v>214.05</v>
      </c>
      <c r="K478" s="76">
        <f t="shared" si="76"/>
        <v>273.11</v>
      </c>
      <c r="L478" s="76"/>
      <c r="M478" s="76"/>
      <c r="N478" s="76"/>
      <c r="O478" s="51"/>
      <c r="R478" s="53">
        <v>214.05</v>
      </c>
    </row>
    <row r="479" spans="1:18" s="56" customFormat="1" ht="36" x14ac:dyDescent="0.2">
      <c r="A479" s="73" t="s">
        <v>842</v>
      </c>
      <c r="B479" s="80">
        <v>44258</v>
      </c>
      <c r="C479" s="74" t="s">
        <v>843</v>
      </c>
      <c r="D479" s="73" t="s">
        <v>102</v>
      </c>
      <c r="E479" s="75">
        <v>2</v>
      </c>
      <c r="F479" s="75"/>
      <c r="G479" s="75"/>
      <c r="H479" s="75">
        <f t="shared" si="73"/>
        <v>320</v>
      </c>
      <c r="I479" s="75">
        <f t="shared" si="74"/>
        <v>408.29</v>
      </c>
      <c r="J479" s="76">
        <f t="shared" si="75"/>
        <v>640</v>
      </c>
      <c r="K479" s="76">
        <f t="shared" si="76"/>
        <v>816.58</v>
      </c>
      <c r="L479" s="76"/>
      <c r="M479" s="76"/>
      <c r="N479" s="76"/>
      <c r="O479" s="51"/>
      <c r="R479" s="53">
        <v>320</v>
      </c>
    </row>
    <row r="480" spans="1:18" s="56" customFormat="1" ht="36" x14ac:dyDescent="0.2">
      <c r="A480" s="73" t="s">
        <v>842</v>
      </c>
      <c r="B480" s="80">
        <v>44259</v>
      </c>
      <c r="C480" s="74" t="s">
        <v>844</v>
      </c>
      <c r="D480" s="73" t="s">
        <v>102</v>
      </c>
      <c r="E480" s="75">
        <v>1</v>
      </c>
      <c r="F480" s="75"/>
      <c r="G480" s="75"/>
      <c r="H480" s="75">
        <f t="shared" si="73"/>
        <v>320</v>
      </c>
      <c r="I480" s="75">
        <f t="shared" si="74"/>
        <v>408.29</v>
      </c>
      <c r="J480" s="76">
        <f t="shared" si="75"/>
        <v>320</v>
      </c>
      <c r="K480" s="76">
        <f t="shared" si="76"/>
        <v>408.29</v>
      </c>
      <c r="L480" s="76"/>
      <c r="M480" s="76"/>
      <c r="N480" s="76"/>
      <c r="O480" s="51"/>
      <c r="R480" s="53">
        <v>320</v>
      </c>
    </row>
    <row r="481" spans="1:18" s="56" customFormat="1" ht="36" x14ac:dyDescent="0.2">
      <c r="A481" s="73" t="s">
        <v>842</v>
      </c>
      <c r="B481" s="80">
        <v>44260</v>
      </c>
      <c r="C481" s="74" t="s">
        <v>845</v>
      </c>
      <c r="D481" s="73" t="s">
        <v>102</v>
      </c>
      <c r="E481" s="75">
        <v>1</v>
      </c>
      <c r="F481" s="75"/>
      <c r="G481" s="75"/>
      <c r="H481" s="75">
        <f t="shared" si="73"/>
        <v>320</v>
      </c>
      <c r="I481" s="75">
        <f t="shared" si="74"/>
        <v>408.29</v>
      </c>
      <c r="J481" s="76">
        <f t="shared" si="75"/>
        <v>320</v>
      </c>
      <c r="K481" s="76">
        <f t="shared" si="76"/>
        <v>408.29</v>
      </c>
      <c r="L481" s="76"/>
      <c r="M481" s="76"/>
      <c r="N481" s="76"/>
      <c r="O481" s="51"/>
      <c r="R481" s="53">
        <v>320</v>
      </c>
    </row>
    <row r="482" spans="1:18" s="56" customFormat="1" ht="12" x14ac:dyDescent="0.2">
      <c r="A482" s="73" t="s">
        <v>308</v>
      </c>
      <c r="B482" s="80">
        <v>44261</v>
      </c>
      <c r="C482" s="74" t="s">
        <v>846</v>
      </c>
      <c r="D482" s="73" t="s">
        <v>102</v>
      </c>
      <c r="E482" s="75">
        <v>1</v>
      </c>
      <c r="F482" s="75"/>
      <c r="G482" s="75"/>
      <c r="H482" s="75">
        <f t="shared" si="73"/>
        <v>282.57</v>
      </c>
      <c r="I482" s="75">
        <f t="shared" si="74"/>
        <v>360.53</v>
      </c>
      <c r="J482" s="76">
        <f t="shared" si="75"/>
        <v>282.57</v>
      </c>
      <c r="K482" s="76">
        <f t="shared" si="76"/>
        <v>360.53</v>
      </c>
      <c r="L482" s="76"/>
      <c r="M482" s="76"/>
      <c r="N482" s="76"/>
      <c r="O482" s="51"/>
      <c r="R482" s="53">
        <v>282.57</v>
      </c>
    </row>
    <row r="483" spans="1:18" s="56" customFormat="1" ht="12" x14ac:dyDescent="0.2">
      <c r="A483" s="72"/>
      <c r="B483" s="71"/>
      <c r="C483" s="71"/>
      <c r="D483" s="71"/>
      <c r="E483" s="71"/>
      <c r="F483" s="71"/>
      <c r="G483" s="71"/>
      <c r="H483" s="75"/>
      <c r="I483" s="77" t="s">
        <v>847</v>
      </c>
      <c r="J483" s="86">
        <f>SUM(J477:J482)</f>
        <v>3455.6600000000003</v>
      </c>
      <c r="K483" s="86">
        <f>SUM(K477:K482)</f>
        <v>4409.09</v>
      </c>
      <c r="L483" s="86"/>
      <c r="M483" s="86"/>
      <c r="N483" s="86"/>
      <c r="O483" s="62"/>
      <c r="R483" s="59"/>
    </row>
    <row r="484" spans="1:18" s="56" customFormat="1" ht="12" x14ac:dyDescent="0.2">
      <c r="A484" s="72"/>
      <c r="B484" s="70" t="s">
        <v>848</v>
      </c>
      <c r="C484" s="71" t="s">
        <v>849</v>
      </c>
      <c r="D484" s="72"/>
      <c r="E484" s="72"/>
      <c r="F484" s="72"/>
      <c r="G484" s="72"/>
      <c r="H484" s="75"/>
      <c r="I484" s="72"/>
      <c r="J484" s="72"/>
      <c r="K484" s="72"/>
      <c r="L484" s="72"/>
      <c r="M484" s="72"/>
      <c r="N484" s="72"/>
      <c r="O484" s="52"/>
      <c r="R484" s="52"/>
    </row>
    <row r="485" spans="1:18" s="56" customFormat="1" ht="48" x14ac:dyDescent="0.2">
      <c r="A485" s="73" t="s">
        <v>842</v>
      </c>
      <c r="B485" s="80">
        <v>44287</v>
      </c>
      <c r="C485" s="74" t="s">
        <v>850</v>
      </c>
      <c r="D485" s="73" t="s">
        <v>102</v>
      </c>
      <c r="E485" s="75">
        <v>2</v>
      </c>
      <c r="F485" s="75"/>
      <c r="G485" s="75"/>
      <c r="H485" s="75">
        <f>ROUND(R485*$R$12,2)</f>
        <v>320</v>
      </c>
      <c r="I485" s="75">
        <f>ROUND(H485*(1+$S$1),2)</f>
        <v>408.29</v>
      </c>
      <c r="J485" s="76">
        <f>ROUND(E485*H485,2)</f>
        <v>640</v>
      </c>
      <c r="K485" s="76">
        <f>ROUND(E485*I485,2)</f>
        <v>816.58</v>
      </c>
      <c r="L485" s="76"/>
      <c r="M485" s="76"/>
      <c r="N485" s="76"/>
      <c r="O485" s="51"/>
      <c r="R485" s="53">
        <v>320</v>
      </c>
    </row>
    <row r="486" spans="1:18" s="56" customFormat="1" ht="48" x14ac:dyDescent="0.2">
      <c r="A486" s="73" t="s">
        <v>851</v>
      </c>
      <c r="B486" s="80">
        <v>44288</v>
      </c>
      <c r="C486" s="74" t="s">
        <v>852</v>
      </c>
      <c r="D486" s="73" t="s">
        <v>102</v>
      </c>
      <c r="E486" s="75">
        <v>1</v>
      </c>
      <c r="F486" s="75"/>
      <c r="G486" s="75"/>
      <c r="H486" s="75">
        <f>ROUND(R486*$R$12,2)</f>
        <v>950.49</v>
      </c>
      <c r="I486" s="75">
        <f>ROUND(H486*(1+$S$1),2)</f>
        <v>1212.73</v>
      </c>
      <c r="J486" s="76">
        <f>ROUND(E486*H486,2)</f>
        <v>950.49</v>
      </c>
      <c r="K486" s="76">
        <f>ROUND(E486*I486,2)</f>
        <v>1212.73</v>
      </c>
      <c r="L486" s="76"/>
      <c r="M486" s="76"/>
      <c r="N486" s="76"/>
      <c r="O486" s="51"/>
      <c r="R486" s="53">
        <v>950.49</v>
      </c>
    </row>
    <row r="487" spans="1:18" s="56" customFormat="1" ht="60" x14ac:dyDescent="0.2">
      <c r="A487" s="73" t="s">
        <v>853</v>
      </c>
      <c r="B487" s="80">
        <v>44289</v>
      </c>
      <c r="C487" s="82" t="s">
        <v>864</v>
      </c>
      <c r="D487" s="73" t="s">
        <v>102</v>
      </c>
      <c r="E487" s="75">
        <v>1</v>
      </c>
      <c r="F487" s="75"/>
      <c r="G487" s="75"/>
      <c r="H487" s="75">
        <f>ROUND(R487*$R$12,2)</f>
        <v>1309.99</v>
      </c>
      <c r="I487" s="75">
        <f>ROUND(H487*(1+$S$1),2)</f>
        <v>1671.42</v>
      </c>
      <c r="J487" s="76">
        <f>ROUND(E487*H487,2)</f>
        <v>1309.99</v>
      </c>
      <c r="K487" s="76">
        <f>ROUND(E487*I487,2)</f>
        <v>1671.42</v>
      </c>
      <c r="L487" s="76"/>
      <c r="M487" s="76"/>
      <c r="N487" s="76"/>
      <c r="O487" s="51"/>
      <c r="R487" s="51">
        <v>1309.99</v>
      </c>
    </row>
    <row r="488" spans="1:18" s="56" customFormat="1" ht="12" x14ac:dyDescent="0.2">
      <c r="A488" s="72"/>
      <c r="B488" s="71"/>
      <c r="C488" s="71"/>
      <c r="D488" s="71"/>
      <c r="E488" s="71"/>
      <c r="F488" s="71"/>
      <c r="G488" s="71"/>
      <c r="H488" s="75"/>
      <c r="I488" s="77" t="s">
        <v>854</v>
      </c>
      <c r="J488" s="78">
        <f>SUM(J485:J487)</f>
        <v>2900.48</v>
      </c>
      <c r="K488" s="78">
        <f>SUM(K485:K487)</f>
        <v>3700.73</v>
      </c>
      <c r="L488" s="78"/>
      <c r="M488" s="78"/>
      <c r="N488" s="78"/>
      <c r="O488" s="60"/>
      <c r="R488" s="59"/>
    </row>
    <row r="489" spans="1:18" s="56" customFormat="1" ht="12" x14ac:dyDescent="0.2">
      <c r="A489" s="72"/>
      <c r="B489" s="70" t="s">
        <v>855</v>
      </c>
      <c r="C489" s="71" t="s">
        <v>856</v>
      </c>
      <c r="D489" s="72"/>
      <c r="E489" s="72"/>
      <c r="F489" s="72"/>
      <c r="G489" s="72"/>
      <c r="H489" s="75"/>
      <c r="I489" s="72"/>
      <c r="J489" s="72"/>
      <c r="K489" s="72"/>
      <c r="L489" s="72"/>
      <c r="M489" s="72"/>
      <c r="N489" s="72"/>
      <c r="O489" s="52"/>
      <c r="R489" s="52"/>
    </row>
    <row r="490" spans="1:18" s="56" customFormat="1" ht="12" x14ac:dyDescent="0.2">
      <c r="A490" s="94">
        <v>2504</v>
      </c>
      <c r="B490" s="80">
        <v>44317</v>
      </c>
      <c r="C490" s="74" t="s">
        <v>857</v>
      </c>
      <c r="D490" s="73" t="s">
        <v>81</v>
      </c>
      <c r="E490" s="75">
        <v>160</v>
      </c>
      <c r="F490" s="75"/>
      <c r="G490" s="75"/>
      <c r="H490" s="75">
        <f t="shared" ref="H490:H501" si="77">ROUND(R490*$R$12,2)</f>
        <v>5.51</v>
      </c>
      <c r="I490" s="75">
        <f t="shared" ref="I490:I501" si="78">ROUND(H490*(1+$S$1),2)</f>
        <v>7.03</v>
      </c>
      <c r="J490" s="76">
        <f t="shared" ref="J490:J501" si="79">ROUND(E490*H490,2)</f>
        <v>881.6</v>
      </c>
      <c r="K490" s="76">
        <f t="shared" ref="K490:K501" si="80">ROUND(E490*I490,2)</f>
        <v>1124.8</v>
      </c>
      <c r="L490" s="76"/>
      <c r="M490" s="76"/>
      <c r="N490" s="76"/>
      <c r="O490" s="51"/>
      <c r="R490" s="53">
        <v>5.51</v>
      </c>
    </row>
    <row r="491" spans="1:18" s="56" customFormat="1" ht="12" x14ac:dyDescent="0.2">
      <c r="A491" s="94">
        <v>91844</v>
      </c>
      <c r="B491" s="80">
        <v>44318</v>
      </c>
      <c r="C491" s="74" t="s">
        <v>858</v>
      </c>
      <c r="D491" s="73" t="s">
        <v>81</v>
      </c>
      <c r="E491" s="76">
        <v>1250</v>
      </c>
      <c r="F491" s="76"/>
      <c r="G491" s="76"/>
      <c r="H491" s="75">
        <f t="shared" si="77"/>
        <v>4.1500000000000004</v>
      </c>
      <c r="I491" s="75">
        <f t="shared" si="78"/>
        <v>5.29</v>
      </c>
      <c r="J491" s="76">
        <f t="shared" si="79"/>
        <v>5187.5</v>
      </c>
      <c r="K491" s="76">
        <f t="shared" si="80"/>
        <v>6612.5</v>
      </c>
      <c r="L491" s="76"/>
      <c r="M491" s="76"/>
      <c r="N491" s="76"/>
      <c r="O491" s="51"/>
      <c r="R491" s="53">
        <v>4.1500000000000004</v>
      </c>
    </row>
    <row r="492" spans="1:18" s="56" customFormat="1" ht="12" x14ac:dyDescent="0.2">
      <c r="A492" s="94">
        <v>91846</v>
      </c>
      <c r="B492" s="80">
        <v>44319</v>
      </c>
      <c r="C492" s="74" t="s">
        <v>859</v>
      </c>
      <c r="D492" s="73" t="s">
        <v>81</v>
      </c>
      <c r="E492" s="75">
        <v>200</v>
      </c>
      <c r="F492" s="75"/>
      <c r="G492" s="75"/>
      <c r="H492" s="75">
        <f t="shared" si="77"/>
        <v>5.77</v>
      </c>
      <c r="I492" s="75">
        <f t="shared" si="78"/>
        <v>7.36</v>
      </c>
      <c r="J492" s="76">
        <f t="shared" si="79"/>
        <v>1154</v>
      </c>
      <c r="K492" s="76">
        <f t="shared" si="80"/>
        <v>1472</v>
      </c>
      <c r="L492" s="76"/>
      <c r="M492" s="76"/>
      <c r="N492" s="76"/>
      <c r="O492" s="51"/>
      <c r="R492" s="53">
        <v>5.77</v>
      </c>
    </row>
    <row r="493" spans="1:18" s="56" customFormat="1" ht="24" x14ac:dyDescent="0.2">
      <c r="A493" s="73" t="s">
        <v>78</v>
      </c>
      <c r="B493" s="80">
        <v>44320</v>
      </c>
      <c r="C493" s="74" t="s">
        <v>860</v>
      </c>
      <c r="D493" s="73" t="s">
        <v>102</v>
      </c>
      <c r="E493" s="75">
        <v>25</v>
      </c>
      <c r="F493" s="75"/>
      <c r="G493" s="75"/>
      <c r="H493" s="75">
        <f t="shared" si="77"/>
        <v>44.63</v>
      </c>
      <c r="I493" s="75">
        <f t="shared" si="78"/>
        <v>56.94</v>
      </c>
      <c r="J493" s="76">
        <f t="shared" si="79"/>
        <v>1115.75</v>
      </c>
      <c r="K493" s="76">
        <f t="shared" si="80"/>
        <v>1423.5</v>
      </c>
      <c r="L493" s="76"/>
      <c r="M493" s="76"/>
      <c r="N493" s="76"/>
      <c r="O493" s="51"/>
      <c r="R493" s="53">
        <v>44.63</v>
      </c>
    </row>
    <row r="494" spans="1:18" s="56" customFormat="1" ht="24" x14ac:dyDescent="0.2">
      <c r="A494" s="94">
        <v>39246</v>
      </c>
      <c r="B494" s="80">
        <v>44321</v>
      </c>
      <c r="C494" s="74" t="s">
        <v>861</v>
      </c>
      <c r="D494" s="73" t="s">
        <v>81</v>
      </c>
      <c r="E494" s="75">
        <v>30</v>
      </c>
      <c r="F494" s="75"/>
      <c r="G494" s="75"/>
      <c r="H494" s="75">
        <f t="shared" si="77"/>
        <v>2.0299999999999998</v>
      </c>
      <c r="I494" s="75">
        <f t="shared" si="78"/>
        <v>2.59</v>
      </c>
      <c r="J494" s="76">
        <f t="shared" si="79"/>
        <v>60.9</v>
      </c>
      <c r="K494" s="76">
        <f t="shared" si="80"/>
        <v>77.7</v>
      </c>
      <c r="L494" s="76"/>
      <c r="M494" s="76"/>
      <c r="N494" s="76"/>
      <c r="O494" s="51"/>
      <c r="R494" s="53">
        <v>2.0299999999999998</v>
      </c>
    </row>
    <row r="495" spans="1:18" s="56" customFormat="1" ht="24" x14ac:dyDescent="0.2">
      <c r="A495" s="94">
        <v>2446</v>
      </c>
      <c r="B495" s="80">
        <v>44322</v>
      </c>
      <c r="C495" s="74" t="s">
        <v>862</v>
      </c>
      <c r="D495" s="73" t="s">
        <v>81</v>
      </c>
      <c r="E495" s="75">
        <v>55</v>
      </c>
      <c r="F495" s="75"/>
      <c r="G495" s="75"/>
      <c r="H495" s="75">
        <f t="shared" si="77"/>
        <v>2.93</v>
      </c>
      <c r="I495" s="75">
        <f t="shared" si="78"/>
        <v>3.74</v>
      </c>
      <c r="J495" s="76">
        <f t="shared" si="79"/>
        <v>161.15</v>
      </c>
      <c r="K495" s="76">
        <f t="shared" si="80"/>
        <v>205.7</v>
      </c>
      <c r="L495" s="76"/>
      <c r="M495" s="76"/>
      <c r="N495" s="76"/>
      <c r="O495" s="51"/>
      <c r="R495" s="53">
        <v>2.93</v>
      </c>
    </row>
    <row r="496" spans="1:18" s="56" customFormat="1" ht="24" x14ac:dyDescent="0.2">
      <c r="A496" s="94">
        <v>2442</v>
      </c>
      <c r="B496" s="80">
        <v>44323</v>
      </c>
      <c r="C496" s="74" t="s">
        <v>865</v>
      </c>
      <c r="D496" s="73" t="s">
        <v>81</v>
      </c>
      <c r="E496" s="75">
        <v>60</v>
      </c>
      <c r="F496" s="75"/>
      <c r="G496" s="75"/>
      <c r="H496" s="75">
        <f t="shared" si="77"/>
        <v>4.0999999999999996</v>
      </c>
      <c r="I496" s="75">
        <f t="shared" si="78"/>
        <v>5.23</v>
      </c>
      <c r="J496" s="76">
        <f t="shared" si="79"/>
        <v>246</v>
      </c>
      <c r="K496" s="76">
        <f t="shared" si="80"/>
        <v>313.8</v>
      </c>
      <c r="L496" s="76"/>
      <c r="M496" s="76"/>
      <c r="N496" s="76"/>
      <c r="O496" s="51"/>
      <c r="R496" s="53">
        <v>4.0999999999999996</v>
      </c>
    </row>
    <row r="497" spans="1:18" s="56" customFormat="1" ht="24" x14ac:dyDescent="0.2">
      <c r="A497" s="94">
        <v>39248</v>
      </c>
      <c r="B497" s="80">
        <v>44324</v>
      </c>
      <c r="C497" s="74" t="s">
        <v>866</v>
      </c>
      <c r="D497" s="73" t="s">
        <v>81</v>
      </c>
      <c r="E497" s="75">
        <v>60</v>
      </c>
      <c r="F497" s="75"/>
      <c r="G497" s="75"/>
      <c r="H497" s="75">
        <f t="shared" si="77"/>
        <v>5.71</v>
      </c>
      <c r="I497" s="75">
        <f t="shared" si="78"/>
        <v>7.29</v>
      </c>
      <c r="J497" s="76">
        <f t="shared" si="79"/>
        <v>342.6</v>
      </c>
      <c r="K497" s="76">
        <f t="shared" si="80"/>
        <v>437.4</v>
      </c>
      <c r="L497" s="76"/>
      <c r="M497" s="76"/>
      <c r="N497" s="76"/>
      <c r="O497" s="51"/>
      <c r="R497" s="53">
        <v>5.71</v>
      </c>
    </row>
    <row r="498" spans="1:18" s="56" customFormat="1" ht="24" x14ac:dyDescent="0.2">
      <c r="A498" s="73" t="s">
        <v>308</v>
      </c>
      <c r="B498" s="80">
        <v>44325</v>
      </c>
      <c r="C498" s="74" t="s">
        <v>867</v>
      </c>
      <c r="D498" s="73" t="s">
        <v>81</v>
      </c>
      <c r="E498" s="75">
        <v>200</v>
      </c>
      <c r="F498" s="75"/>
      <c r="G498" s="75"/>
      <c r="H498" s="75">
        <f t="shared" si="77"/>
        <v>9.8699999999999992</v>
      </c>
      <c r="I498" s="75">
        <f t="shared" si="78"/>
        <v>12.59</v>
      </c>
      <c r="J498" s="76">
        <f t="shared" si="79"/>
        <v>1974</v>
      </c>
      <c r="K498" s="76">
        <f t="shared" si="80"/>
        <v>2518</v>
      </c>
      <c r="L498" s="76"/>
      <c r="M498" s="76"/>
      <c r="N498" s="76"/>
      <c r="O498" s="51"/>
      <c r="R498" s="53">
        <v>9.8699999999999992</v>
      </c>
    </row>
    <row r="499" spans="1:18" s="56" customFormat="1" ht="12" x14ac:dyDescent="0.2">
      <c r="A499" s="94">
        <v>39272</v>
      </c>
      <c r="B499" s="87">
        <v>40319</v>
      </c>
      <c r="C499" s="74" t="s">
        <v>868</v>
      </c>
      <c r="D499" s="73" t="s">
        <v>102</v>
      </c>
      <c r="E499" s="75">
        <v>180</v>
      </c>
      <c r="F499" s="75"/>
      <c r="G499" s="75"/>
      <c r="H499" s="75">
        <f t="shared" si="77"/>
        <v>1.47</v>
      </c>
      <c r="I499" s="75">
        <f t="shared" si="78"/>
        <v>1.88</v>
      </c>
      <c r="J499" s="76">
        <f t="shared" si="79"/>
        <v>264.60000000000002</v>
      </c>
      <c r="K499" s="76">
        <f t="shared" si="80"/>
        <v>338.4</v>
      </c>
      <c r="L499" s="76"/>
      <c r="M499" s="76"/>
      <c r="N499" s="76"/>
      <c r="O499" s="51"/>
      <c r="R499" s="53">
        <v>1.47</v>
      </c>
    </row>
    <row r="500" spans="1:18" s="56" customFormat="1" ht="12" x14ac:dyDescent="0.2">
      <c r="A500" s="73" t="s">
        <v>308</v>
      </c>
      <c r="B500" s="87">
        <v>40684</v>
      </c>
      <c r="C500" s="74" t="s">
        <v>869</v>
      </c>
      <c r="D500" s="73" t="s">
        <v>102</v>
      </c>
      <c r="E500" s="75">
        <v>800</v>
      </c>
      <c r="F500" s="75"/>
      <c r="G500" s="75"/>
      <c r="H500" s="75">
        <f t="shared" si="77"/>
        <v>1.1200000000000001</v>
      </c>
      <c r="I500" s="75">
        <f t="shared" si="78"/>
        <v>1.43</v>
      </c>
      <c r="J500" s="76">
        <f t="shared" si="79"/>
        <v>896</v>
      </c>
      <c r="K500" s="76">
        <f t="shared" si="80"/>
        <v>1144</v>
      </c>
      <c r="L500" s="76"/>
      <c r="M500" s="76"/>
      <c r="N500" s="76"/>
      <c r="O500" s="51"/>
      <c r="R500" s="53">
        <v>1.1200000000000001</v>
      </c>
    </row>
    <row r="501" spans="1:18" s="56" customFormat="1" ht="12" x14ac:dyDescent="0.2">
      <c r="A501" s="73" t="s">
        <v>308</v>
      </c>
      <c r="B501" s="87">
        <v>41050</v>
      </c>
      <c r="C501" s="74" t="s">
        <v>870</v>
      </c>
      <c r="D501" s="73" t="s">
        <v>102</v>
      </c>
      <c r="E501" s="75">
        <v>120</v>
      </c>
      <c r="F501" s="75"/>
      <c r="G501" s="75"/>
      <c r="H501" s="75">
        <f t="shared" si="77"/>
        <v>2.2400000000000002</v>
      </c>
      <c r="I501" s="75">
        <f t="shared" si="78"/>
        <v>2.86</v>
      </c>
      <c r="J501" s="76">
        <f t="shared" si="79"/>
        <v>268.8</v>
      </c>
      <c r="K501" s="76">
        <f t="shared" si="80"/>
        <v>343.2</v>
      </c>
      <c r="L501" s="76"/>
      <c r="M501" s="76"/>
      <c r="N501" s="76"/>
      <c r="O501" s="51"/>
      <c r="R501" s="53">
        <v>2.2400000000000002</v>
      </c>
    </row>
    <row r="502" spans="1:18" s="56" customFormat="1" ht="12" x14ac:dyDescent="0.2">
      <c r="A502" s="72"/>
      <c r="B502" s="71"/>
      <c r="C502" s="71"/>
      <c r="D502" s="71"/>
      <c r="E502" s="71"/>
      <c r="F502" s="71"/>
      <c r="G502" s="71"/>
      <c r="H502" s="75"/>
      <c r="I502" s="77" t="s">
        <v>871</v>
      </c>
      <c r="J502" s="78">
        <f>SUM(J490:J501)</f>
        <v>12552.9</v>
      </c>
      <c r="K502" s="78">
        <f>SUM(K490:K501)</f>
        <v>16011</v>
      </c>
      <c r="L502" s="78"/>
      <c r="M502" s="78"/>
      <c r="N502" s="78"/>
      <c r="O502" s="60"/>
      <c r="R502" s="59"/>
    </row>
    <row r="503" spans="1:18" s="56" customFormat="1" ht="12" x14ac:dyDescent="0.2">
      <c r="A503" s="72"/>
      <c r="B503" s="70" t="s">
        <v>872</v>
      </c>
      <c r="C503" s="71" t="s">
        <v>873</v>
      </c>
      <c r="D503" s="72"/>
      <c r="E503" s="72"/>
      <c r="F503" s="72"/>
      <c r="G503" s="72"/>
      <c r="H503" s="75"/>
      <c r="I503" s="72"/>
      <c r="J503" s="72"/>
      <c r="K503" s="72"/>
      <c r="L503" s="72"/>
      <c r="M503" s="72"/>
      <c r="N503" s="72"/>
      <c r="O503" s="52"/>
      <c r="R503" s="52"/>
    </row>
    <row r="504" spans="1:18" s="56" customFormat="1" ht="48" x14ac:dyDescent="0.2">
      <c r="A504" s="72"/>
      <c r="B504" s="69"/>
      <c r="C504" s="74" t="s">
        <v>874</v>
      </c>
      <c r="D504" s="72"/>
      <c r="E504" s="72"/>
      <c r="F504" s="72"/>
      <c r="G504" s="72"/>
      <c r="H504" s="75"/>
      <c r="I504" s="72"/>
      <c r="J504" s="72"/>
      <c r="K504" s="72"/>
      <c r="L504" s="72"/>
      <c r="M504" s="72"/>
      <c r="N504" s="72"/>
      <c r="O504" s="52"/>
      <c r="R504" s="52"/>
    </row>
    <row r="505" spans="1:18" s="56" customFormat="1" ht="12" x14ac:dyDescent="0.2">
      <c r="A505" s="95">
        <v>1014</v>
      </c>
      <c r="B505" s="80">
        <v>44348</v>
      </c>
      <c r="C505" s="74" t="s">
        <v>875</v>
      </c>
      <c r="D505" s="73" t="s">
        <v>81</v>
      </c>
      <c r="E505" s="76">
        <v>7200</v>
      </c>
      <c r="F505" s="76"/>
      <c r="G505" s="76"/>
      <c r="H505" s="75">
        <f>ROUND(R505*$R$12,2)</f>
        <v>1.03</v>
      </c>
      <c r="I505" s="75">
        <f>ROUND(H505*(1+$S$1),2)</f>
        <v>1.31</v>
      </c>
      <c r="J505" s="76">
        <f>ROUND(E505*H505,2)</f>
        <v>7416</v>
      </c>
      <c r="K505" s="76">
        <f>ROUND(E505*I505,2)</f>
        <v>9432</v>
      </c>
      <c r="L505" s="76"/>
      <c r="M505" s="76"/>
      <c r="N505" s="76"/>
      <c r="O505" s="51"/>
      <c r="R505" s="53">
        <v>1.03</v>
      </c>
    </row>
    <row r="506" spans="1:18" s="56" customFormat="1" ht="12" x14ac:dyDescent="0.2">
      <c r="A506" s="95">
        <v>981</v>
      </c>
      <c r="B506" s="80">
        <v>44349</v>
      </c>
      <c r="C506" s="74" t="s">
        <v>876</v>
      </c>
      <c r="D506" s="73" t="s">
        <v>81</v>
      </c>
      <c r="E506" s="75">
        <v>750</v>
      </c>
      <c r="F506" s="75"/>
      <c r="G506" s="75"/>
      <c r="H506" s="75">
        <f>ROUND(R506*$R$12,2)</f>
        <v>1.84</v>
      </c>
      <c r="I506" s="75">
        <f>ROUND(H506*(1+$S$1),2)</f>
        <v>2.35</v>
      </c>
      <c r="J506" s="76">
        <f>ROUND(E506*H506,2)</f>
        <v>1380</v>
      </c>
      <c r="K506" s="76">
        <f>ROUND(E506*I506,2)</f>
        <v>1762.5</v>
      </c>
      <c r="L506" s="76"/>
      <c r="M506" s="76"/>
      <c r="N506" s="76"/>
      <c r="O506" s="51"/>
      <c r="R506" s="53">
        <v>1.84</v>
      </c>
    </row>
    <row r="507" spans="1:18" s="56" customFormat="1" ht="12" x14ac:dyDescent="0.2">
      <c r="A507" s="95">
        <v>982</v>
      </c>
      <c r="B507" s="80">
        <v>44350</v>
      </c>
      <c r="C507" s="74" t="s">
        <v>877</v>
      </c>
      <c r="D507" s="73" t="s">
        <v>81</v>
      </c>
      <c r="E507" s="75">
        <v>300</v>
      </c>
      <c r="F507" s="75"/>
      <c r="G507" s="75"/>
      <c r="H507" s="75">
        <f>ROUND(R507*$R$12,2)</f>
        <v>2.57</v>
      </c>
      <c r="I507" s="75">
        <f>ROUND(H507*(1+$S$1),2)</f>
        <v>3.28</v>
      </c>
      <c r="J507" s="76">
        <f>ROUND(E507*H507,2)</f>
        <v>771</v>
      </c>
      <c r="K507" s="76">
        <f>ROUND(E507*I507,2)</f>
        <v>984</v>
      </c>
      <c r="L507" s="76"/>
      <c r="M507" s="76"/>
      <c r="N507" s="76"/>
      <c r="O507" s="51"/>
      <c r="R507" s="53">
        <v>2.57</v>
      </c>
    </row>
    <row r="508" spans="1:18" s="56" customFormat="1" ht="48" x14ac:dyDescent="0.2">
      <c r="A508" s="72"/>
      <c r="B508" s="69"/>
      <c r="C508" s="74" t="s">
        <v>878</v>
      </c>
      <c r="D508" s="72"/>
      <c r="E508" s="72"/>
      <c r="F508" s="72"/>
      <c r="G508" s="72"/>
      <c r="H508" s="75"/>
      <c r="I508" s="72"/>
      <c r="J508" s="72"/>
      <c r="K508" s="72"/>
      <c r="L508" s="72"/>
      <c r="M508" s="72"/>
      <c r="N508" s="72"/>
      <c r="O508" s="52"/>
      <c r="R508" s="52"/>
    </row>
    <row r="509" spans="1:18" s="56" customFormat="1" ht="12" x14ac:dyDescent="0.2">
      <c r="A509" s="95">
        <v>994</v>
      </c>
      <c r="B509" s="80">
        <v>44351</v>
      </c>
      <c r="C509" s="74" t="s">
        <v>877</v>
      </c>
      <c r="D509" s="73" t="s">
        <v>81</v>
      </c>
      <c r="E509" s="75">
        <v>400</v>
      </c>
      <c r="F509" s="75"/>
      <c r="G509" s="75"/>
      <c r="H509" s="75">
        <f t="shared" ref="H509:H514" si="81">ROUND(R509*$R$12,2)</f>
        <v>3</v>
      </c>
      <c r="I509" s="75">
        <f t="shared" ref="I509:I514" si="82">ROUND(H509*(1+$S$1),2)</f>
        <v>3.83</v>
      </c>
      <c r="J509" s="76">
        <f t="shared" ref="J509:J514" si="83">ROUND(E509*H509,2)</f>
        <v>1200</v>
      </c>
      <c r="K509" s="76">
        <f t="shared" ref="K509:K514" si="84">ROUND(E509*I509,2)</f>
        <v>1532</v>
      </c>
      <c r="L509" s="76"/>
      <c r="M509" s="76"/>
      <c r="N509" s="76"/>
      <c r="O509" s="51"/>
      <c r="R509" s="53">
        <v>3</v>
      </c>
    </row>
    <row r="510" spans="1:18" s="56" customFormat="1" ht="12" x14ac:dyDescent="0.2">
      <c r="A510" s="95">
        <v>1020</v>
      </c>
      <c r="B510" s="80">
        <v>44352</v>
      </c>
      <c r="C510" s="74" t="s">
        <v>879</v>
      </c>
      <c r="D510" s="73" t="s">
        <v>81</v>
      </c>
      <c r="E510" s="75">
        <v>100</v>
      </c>
      <c r="F510" s="75"/>
      <c r="G510" s="75"/>
      <c r="H510" s="75">
        <f t="shared" si="81"/>
        <v>4.8</v>
      </c>
      <c r="I510" s="75">
        <f t="shared" si="82"/>
        <v>6.12</v>
      </c>
      <c r="J510" s="76">
        <f t="shared" si="83"/>
        <v>480</v>
      </c>
      <c r="K510" s="76">
        <f t="shared" si="84"/>
        <v>612</v>
      </c>
      <c r="L510" s="76"/>
      <c r="M510" s="76"/>
      <c r="N510" s="76"/>
      <c r="O510" s="51"/>
      <c r="R510" s="53">
        <v>4.8</v>
      </c>
    </row>
    <row r="511" spans="1:18" s="56" customFormat="1" ht="12" x14ac:dyDescent="0.2">
      <c r="A511" s="95">
        <v>995</v>
      </c>
      <c r="B511" s="80">
        <v>44353</v>
      </c>
      <c r="C511" s="74" t="s">
        <v>880</v>
      </c>
      <c r="D511" s="73" t="s">
        <v>81</v>
      </c>
      <c r="E511" s="75">
        <v>500</v>
      </c>
      <c r="F511" s="75"/>
      <c r="G511" s="75"/>
      <c r="H511" s="75">
        <f t="shared" si="81"/>
        <v>7.37</v>
      </c>
      <c r="I511" s="75">
        <f t="shared" si="82"/>
        <v>9.4</v>
      </c>
      <c r="J511" s="76">
        <f t="shared" si="83"/>
        <v>3685</v>
      </c>
      <c r="K511" s="76">
        <f t="shared" si="84"/>
        <v>4700</v>
      </c>
      <c r="L511" s="76"/>
      <c r="M511" s="76"/>
      <c r="N511" s="76"/>
      <c r="O511" s="51"/>
      <c r="R511" s="53">
        <v>7.37</v>
      </c>
    </row>
    <row r="512" spans="1:18" s="56" customFormat="1" ht="12" x14ac:dyDescent="0.2">
      <c r="A512" s="95">
        <v>996</v>
      </c>
      <c r="B512" s="80">
        <v>44354</v>
      </c>
      <c r="C512" s="74" t="s">
        <v>881</v>
      </c>
      <c r="D512" s="73" t="s">
        <v>81</v>
      </c>
      <c r="E512" s="75">
        <v>25</v>
      </c>
      <c r="F512" s="75"/>
      <c r="G512" s="75"/>
      <c r="H512" s="75">
        <f t="shared" si="81"/>
        <v>11.21</v>
      </c>
      <c r="I512" s="75">
        <f t="shared" si="82"/>
        <v>14.3</v>
      </c>
      <c r="J512" s="76">
        <f t="shared" si="83"/>
        <v>280.25</v>
      </c>
      <c r="K512" s="76">
        <f t="shared" si="84"/>
        <v>357.5</v>
      </c>
      <c r="L512" s="76"/>
      <c r="M512" s="76"/>
      <c r="N512" s="76"/>
      <c r="O512" s="51"/>
      <c r="R512" s="53">
        <v>11.21</v>
      </c>
    </row>
    <row r="513" spans="1:18" s="56" customFormat="1" ht="12" x14ac:dyDescent="0.2">
      <c r="A513" s="95">
        <v>1019</v>
      </c>
      <c r="B513" s="80">
        <v>44355</v>
      </c>
      <c r="C513" s="74" t="s">
        <v>882</v>
      </c>
      <c r="D513" s="73" t="s">
        <v>81</v>
      </c>
      <c r="E513" s="75">
        <v>125</v>
      </c>
      <c r="F513" s="75"/>
      <c r="G513" s="75"/>
      <c r="H513" s="75">
        <f t="shared" si="81"/>
        <v>15.46</v>
      </c>
      <c r="I513" s="75">
        <f t="shared" si="82"/>
        <v>19.73</v>
      </c>
      <c r="J513" s="76">
        <f t="shared" si="83"/>
        <v>1932.5</v>
      </c>
      <c r="K513" s="76">
        <f t="shared" si="84"/>
        <v>2466.25</v>
      </c>
      <c r="L513" s="76"/>
      <c r="M513" s="76"/>
      <c r="N513" s="76"/>
      <c r="O513" s="51"/>
      <c r="R513" s="53">
        <v>15.46</v>
      </c>
    </row>
    <row r="514" spans="1:18" s="56" customFormat="1" ht="12" x14ac:dyDescent="0.2">
      <c r="A514" s="95">
        <v>1018</v>
      </c>
      <c r="B514" s="80">
        <v>44356</v>
      </c>
      <c r="C514" s="74" t="s">
        <v>883</v>
      </c>
      <c r="D514" s="73" t="s">
        <v>81</v>
      </c>
      <c r="E514" s="75">
        <v>130</v>
      </c>
      <c r="F514" s="75"/>
      <c r="G514" s="75"/>
      <c r="H514" s="75">
        <f t="shared" si="81"/>
        <v>22.04</v>
      </c>
      <c r="I514" s="75">
        <f t="shared" si="82"/>
        <v>28.12</v>
      </c>
      <c r="J514" s="76">
        <f t="shared" si="83"/>
        <v>2865.2</v>
      </c>
      <c r="K514" s="76">
        <f t="shared" si="84"/>
        <v>3655.6</v>
      </c>
      <c r="L514" s="76"/>
      <c r="M514" s="76"/>
      <c r="N514" s="76"/>
      <c r="O514" s="51"/>
      <c r="R514" s="53">
        <v>22.04</v>
      </c>
    </row>
    <row r="515" spans="1:18" s="56" customFormat="1" ht="36" x14ac:dyDescent="0.2">
      <c r="A515" s="72"/>
      <c r="B515" s="69"/>
      <c r="C515" s="74" t="s">
        <v>884</v>
      </c>
      <c r="D515" s="72"/>
      <c r="E515" s="72"/>
      <c r="F515" s="72"/>
      <c r="G515" s="72"/>
      <c r="H515" s="75"/>
      <c r="I515" s="72"/>
      <c r="J515" s="72"/>
      <c r="K515" s="72"/>
      <c r="L515" s="72"/>
      <c r="M515" s="72"/>
      <c r="N515" s="72"/>
      <c r="O515" s="52"/>
      <c r="R515" s="52"/>
    </row>
    <row r="516" spans="1:18" s="56" customFormat="1" ht="12" x14ac:dyDescent="0.2">
      <c r="A516" s="94">
        <v>39257</v>
      </c>
      <c r="B516" s="87">
        <v>40350</v>
      </c>
      <c r="C516" s="74" t="s">
        <v>885</v>
      </c>
      <c r="D516" s="73" t="s">
        <v>81</v>
      </c>
      <c r="E516" s="75">
        <v>50</v>
      </c>
      <c r="F516" s="75"/>
      <c r="G516" s="75"/>
      <c r="H516" s="75">
        <f>ROUND(R516*$R$12,2)</f>
        <v>2.81</v>
      </c>
      <c r="I516" s="75">
        <f>ROUND(H516*(1+$S$1),2)</f>
        <v>3.59</v>
      </c>
      <c r="J516" s="76">
        <f>ROUND(E516*H516,2)</f>
        <v>140.5</v>
      </c>
      <c r="K516" s="76">
        <f>ROUND(E516*I516,2)</f>
        <v>179.5</v>
      </c>
      <c r="L516" s="76"/>
      <c r="M516" s="76"/>
      <c r="N516" s="76"/>
      <c r="O516" s="51"/>
      <c r="R516" s="53">
        <v>2.81</v>
      </c>
    </row>
    <row r="517" spans="1:18" s="56" customFormat="1" ht="12" x14ac:dyDescent="0.2">
      <c r="A517" s="94">
        <v>39258</v>
      </c>
      <c r="B517" s="87">
        <v>40715</v>
      </c>
      <c r="C517" s="74" t="s">
        <v>886</v>
      </c>
      <c r="D517" s="73" t="s">
        <v>81</v>
      </c>
      <c r="E517" s="75">
        <v>60</v>
      </c>
      <c r="F517" s="75"/>
      <c r="G517" s="75"/>
      <c r="H517" s="75">
        <f>ROUND(R517*$R$12,2)</f>
        <v>4.17</v>
      </c>
      <c r="I517" s="75">
        <f>ROUND(H517*(1+$S$1),2)</f>
        <v>5.32</v>
      </c>
      <c r="J517" s="76">
        <f>ROUND(E517*H517,2)</f>
        <v>250.2</v>
      </c>
      <c r="K517" s="76">
        <f>ROUND(E517*I517,2)</f>
        <v>319.2</v>
      </c>
      <c r="L517" s="76"/>
      <c r="M517" s="76"/>
      <c r="N517" s="76"/>
      <c r="O517" s="51"/>
      <c r="R517" s="53">
        <v>4.17</v>
      </c>
    </row>
    <row r="518" spans="1:18" s="56" customFormat="1" ht="12" x14ac:dyDescent="0.2">
      <c r="A518" s="72"/>
      <c r="B518" s="71"/>
      <c r="C518" s="71"/>
      <c r="D518" s="71"/>
      <c r="E518" s="71"/>
      <c r="F518" s="71"/>
      <c r="G518" s="71"/>
      <c r="H518" s="75"/>
      <c r="I518" s="77" t="s">
        <v>887</v>
      </c>
      <c r="J518" s="78">
        <f>SUM(J505:J517)</f>
        <v>20400.650000000001</v>
      </c>
      <c r="K518" s="78">
        <f>SUM(K505:K517)</f>
        <v>26000.55</v>
      </c>
      <c r="L518" s="78"/>
      <c r="M518" s="78"/>
      <c r="N518" s="78"/>
      <c r="O518" s="60"/>
      <c r="R518" s="59"/>
    </row>
    <row r="519" spans="1:18" s="56" customFormat="1" ht="12" x14ac:dyDescent="0.2">
      <c r="A519" s="72"/>
      <c r="B519" s="70" t="s">
        <v>888</v>
      </c>
      <c r="C519" s="71" t="s">
        <v>889</v>
      </c>
      <c r="D519" s="72"/>
      <c r="E519" s="72"/>
      <c r="F519" s="72"/>
      <c r="G519" s="72"/>
      <c r="H519" s="75"/>
      <c r="I519" s="72"/>
      <c r="J519" s="72"/>
      <c r="K519" s="72"/>
      <c r="L519" s="72"/>
      <c r="M519" s="72"/>
      <c r="N519" s="72"/>
      <c r="O519" s="52"/>
      <c r="R519" s="52"/>
    </row>
    <row r="520" spans="1:18" s="56" customFormat="1" ht="12" x14ac:dyDescent="0.2">
      <c r="A520" s="94">
        <v>2574</v>
      </c>
      <c r="B520" s="80">
        <v>44378</v>
      </c>
      <c r="C520" s="74" t="s">
        <v>890</v>
      </c>
      <c r="D520" s="73" t="s">
        <v>102</v>
      </c>
      <c r="E520" s="75">
        <v>8</v>
      </c>
      <c r="F520" s="75"/>
      <c r="G520" s="75"/>
      <c r="H520" s="75">
        <f t="shared" ref="H520:H532" si="85">ROUND(R520*$R$12,2)</f>
        <v>8.1999999999999993</v>
      </c>
      <c r="I520" s="75">
        <f t="shared" ref="I520:I532" si="86">ROUND(H520*(1+$S$1),2)</f>
        <v>10.46</v>
      </c>
      <c r="J520" s="76">
        <f t="shared" ref="J520:J532" si="87">ROUND(E520*H520,2)</f>
        <v>65.599999999999994</v>
      </c>
      <c r="K520" s="76">
        <f t="shared" ref="K520:K532" si="88">ROUND(E520*I520,2)</f>
        <v>83.68</v>
      </c>
      <c r="L520" s="76"/>
      <c r="M520" s="76"/>
      <c r="N520" s="76"/>
      <c r="O520" s="51"/>
      <c r="R520" s="53">
        <v>8.1999999999999993</v>
      </c>
    </row>
    <row r="521" spans="1:18" s="56" customFormat="1" ht="12" x14ac:dyDescent="0.2">
      <c r="A521" s="94">
        <v>2559</v>
      </c>
      <c r="B521" s="80">
        <v>44379</v>
      </c>
      <c r="C521" s="74" t="s">
        <v>891</v>
      </c>
      <c r="D521" s="73" t="s">
        <v>102</v>
      </c>
      <c r="E521" s="75">
        <v>12</v>
      </c>
      <c r="F521" s="75"/>
      <c r="G521" s="75"/>
      <c r="H521" s="75">
        <f t="shared" si="85"/>
        <v>8.5</v>
      </c>
      <c r="I521" s="75">
        <f t="shared" si="86"/>
        <v>10.85</v>
      </c>
      <c r="J521" s="76">
        <f t="shared" si="87"/>
        <v>102</v>
      </c>
      <c r="K521" s="76">
        <f t="shared" si="88"/>
        <v>130.19999999999999</v>
      </c>
      <c r="L521" s="76"/>
      <c r="M521" s="76"/>
      <c r="N521" s="76"/>
      <c r="O521" s="51"/>
      <c r="R521" s="53">
        <v>8.5</v>
      </c>
    </row>
    <row r="522" spans="1:18" s="56" customFormat="1" ht="12" x14ac:dyDescent="0.2">
      <c r="A522" s="94">
        <v>2565</v>
      </c>
      <c r="B522" s="80">
        <v>44380</v>
      </c>
      <c r="C522" s="74" t="s">
        <v>892</v>
      </c>
      <c r="D522" s="73" t="s">
        <v>102</v>
      </c>
      <c r="E522" s="75">
        <v>14</v>
      </c>
      <c r="F522" s="75"/>
      <c r="G522" s="75"/>
      <c r="H522" s="75">
        <f t="shared" si="85"/>
        <v>6.88</v>
      </c>
      <c r="I522" s="75">
        <f t="shared" si="86"/>
        <v>8.7799999999999994</v>
      </c>
      <c r="J522" s="76">
        <f t="shared" si="87"/>
        <v>96.32</v>
      </c>
      <c r="K522" s="76">
        <f t="shared" si="88"/>
        <v>122.92</v>
      </c>
      <c r="L522" s="76"/>
      <c r="M522" s="76"/>
      <c r="N522" s="76"/>
      <c r="O522" s="51"/>
      <c r="R522" s="53">
        <v>6.88</v>
      </c>
    </row>
    <row r="523" spans="1:18" s="56" customFormat="1" ht="12" x14ac:dyDescent="0.2">
      <c r="A523" s="94">
        <v>2580</v>
      </c>
      <c r="B523" s="80">
        <v>44381</v>
      </c>
      <c r="C523" s="74" t="s">
        <v>893</v>
      </c>
      <c r="D523" s="73" t="s">
        <v>102</v>
      </c>
      <c r="E523" s="75">
        <v>3</v>
      </c>
      <c r="F523" s="75"/>
      <c r="G523" s="75"/>
      <c r="H523" s="75">
        <f t="shared" si="85"/>
        <v>10.83</v>
      </c>
      <c r="I523" s="75">
        <f t="shared" si="86"/>
        <v>13.82</v>
      </c>
      <c r="J523" s="76">
        <f t="shared" si="87"/>
        <v>32.49</v>
      </c>
      <c r="K523" s="76">
        <f t="shared" si="88"/>
        <v>41.46</v>
      </c>
      <c r="L523" s="76"/>
      <c r="M523" s="76"/>
      <c r="N523" s="76"/>
      <c r="O523" s="51"/>
      <c r="R523" s="53">
        <v>10.83</v>
      </c>
    </row>
    <row r="524" spans="1:18" s="56" customFormat="1" ht="12" x14ac:dyDescent="0.2">
      <c r="A524" s="94">
        <v>2593</v>
      </c>
      <c r="B524" s="80">
        <v>44382</v>
      </c>
      <c r="C524" s="74" t="s">
        <v>894</v>
      </c>
      <c r="D524" s="73" t="s">
        <v>102</v>
      </c>
      <c r="E524" s="75">
        <v>5</v>
      </c>
      <c r="F524" s="75"/>
      <c r="G524" s="75"/>
      <c r="H524" s="75">
        <f t="shared" si="85"/>
        <v>7.11</v>
      </c>
      <c r="I524" s="75">
        <f t="shared" si="86"/>
        <v>9.07</v>
      </c>
      <c r="J524" s="76">
        <f t="shared" si="87"/>
        <v>35.549999999999997</v>
      </c>
      <c r="K524" s="76">
        <f t="shared" si="88"/>
        <v>45.35</v>
      </c>
      <c r="L524" s="76"/>
      <c r="M524" s="76"/>
      <c r="N524" s="76"/>
      <c r="O524" s="51"/>
      <c r="R524" s="53">
        <v>7.11</v>
      </c>
    </row>
    <row r="525" spans="1:18" s="56" customFormat="1" ht="24" x14ac:dyDescent="0.2">
      <c r="A525" s="94">
        <v>39346</v>
      </c>
      <c r="B525" s="80">
        <v>44383</v>
      </c>
      <c r="C525" s="74" t="s">
        <v>895</v>
      </c>
      <c r="D525" s="73" t="s">
        <v>102</v>
      </c>
      <c r="E525" s="75">
        <v>8</v>
      </c>
      <c r="F525" s="75"/>
      <c r="G525" s="75"/>
      <c r="H525" s="75">
        <f t="shared" si="85"/>
        <v>2.09</v>
      </c>
      <c r="I525" s="75">
        <f t="shared" si="86"/>
        <v>2.67</v>
      </c>
      <c r="J525" s="76">
        <f t="shared" si="87"/>
        <v>16.72</v>
      </c>
      <c r="K525" s="76">
        <f t="shared" si="88"/>
        <v>21.36</v>
      </c>
      <c r="L525" s="76"/>
      <c r="M525" s="76"/>
      <c r="N525" s="76"/>
      <c r="O525" s="51"/>
      <c r="R525" s="53">
        <v>2.09</v>
      </c>
    </row>
    <row r="526" spans="1:18" s="56" customFormat="1" ht="12" x14ac:dyDescent="0.2">
      <c r="A526" s="94">
        <v>7543</v>
      </c>
      <c r="B526" s="80">
        <v>44384</v>
      </c>
      <c r="C526" s="74" t="s">
        <v>896</v>
      </c>
      <c r="D526" s="73" t="s">
        <v>102</v>
      </c>
      <c r="E526" s="75">
        <v>14</v>
      </c>
      <c r="F526" s="75"/>
      <c r="G526" s="75"/>
      <c r="H526" s="75">
        <f t="shared" si="85"/>
        <v>3.39</v>
      </c>
      <c r="I526" s="75">
        <f t="shared" si="86"/>
        <v>4.33</v>
      </c>
      <c r="J526" s="76">
        <f t="shared" si="87"/>
        <v>47.46</v>
      </c>
      <c r="K526" s="76">
        <f t="shared" si="88"/>
        <v>60.62</v>
      </c>
      <c r="L526" s="76"/>
      <c r="M526" s="76"/>
      <c r="N526" s="76"/>
      <c r="O526" s="51"/>
      <c r="R526" s="53">
        <v>3.39</v>
      </c>
    </row>
    <row r="527" spans="1:18" s="56" customFormat="1" ht="12" x14ac:dyDescent="0.2">
      <c r="A527" s="94">
        <v>39351</v>
      </c>
      <c r="B527" s="80">
        <v>44385</v>
      </c>
      <c r="C527" s="74" t="s">
        <v>897</v>
      </c>
      <c r="D527" s="73" t="s">
        <v>102</v>
      </c>
      <c r="E527" s="75">
        <v>20</v>
      </c>
      <c r="F527" s="75"/>
      <c r="G527" s="75"/>
      <c r="H527" s="75">
        <f t="shared" si="85"/>
        <v>2.6</v>
      </c>
      <c r="I527" s="75">
        <f t="shared" si="86"/>
        <v>3.32</v>
      </c>
      <c r="J527" s="76">
        <f t="shared" si="87"/>
        <v>52</v>
      </c>
      <c r="K527" s="76">
        <f t="shared" si="88"/>
        <v>66.400000000000006</v>
      </c>
      <c r="L527" s="76"/>
      <c r="M527" s="76"/>
      <c r="N527" s="76"/>
      <c r="O527" s="51"/>
      <c r="R527" s="53">
        <v>2.6</v>
      </c>
    </row>
    <row r="528" spans="1:18" s="56" customFormat="1" ht="12" x14ac:dyDescent="0.2">
      <c r="A528" s="73" t="s">
        <v>308</v>
      </c>
      <c r="B528" s="80">
        <v>44386</v>
      </c>
      <c r="C528" s="74" t="s">
        <v>898</v>
      </c>
      <c r="D528" s="73" t="s">
        <v>102</v>
      </c>
      <c r="E528" s="75">
        <v>300</v>
      </c>
      <c r="F528" s="75"/>
      <c r="G528" s="75"/>
      <c r="H528" s="75">
        <f t="shared" si="85"/>
        <v>4.9000000000000004</v>
      </c>
      <c r="I528" s="75">
        <f t="shared" si="86"/>
        <v>6.25</v>
      </c>
      <c r="J528" s="76">
        <f t="shared" si="87"/>
        <v>1470</v>
      </c>
      <c r="K528" s="76">
        <f t="shared" si="88"/>
        <v>1875</v>
      </c>
      <c r="L528" s="76"/>
      <c r="M528" s="76"/>
      <c r="N528" s="76"/>
      <c r="O528" s="51"/>
      <c r="R528" s="53">
        <v>4.9000000000000004</v>
      </c>
    </row>
    <row r="529" spans="1:18" s="56" customFormat="1" ht="12" x14ac:dyDescent="0.2">
      <c r="A529" s="73" t="s">
        <v>308</v>
      </c>
      <c r="B529" s="87">
        <v>40380</v>
      </c>
      <c r="C529" s="74" t="s">
        <v>899</v>
      </c>
      <c r="D529" s="73" t="s">
        <v>102</v>
      </c>
      <c r="E529" s="75">
        <v>150</v>
      </c>
      <c r="F529" s="75"/>
      <c r="G529" s="75"/>
      <c r="H529" s="75">
        <f t="shared" si="85"/>
        <v>9.0500000000000007</v>
      </c>
      <c r="I529" s="75">
        <f t="shared" si="86"/>
        <v>11.55</v>
      </c>
      <c r="J529" s="76">
        <f t="shared" si="87"/>
        <v>1357.5</v>
      </c>
      <c r="K529" s="76">
        <f t="shared" si="88"/>
        <v>1732.5</v>
      </c>
      <c r="L529" s="76"/>
      <c r="M529" s="76"/>
      <c r="N529" s="76"/>
      <c r="O529" s="51"/>
      <c r="R529" s="53">
        <v>9.0500000000000007</v>
      </c>
    </row>
    <row r="530" spans="1:18" s="56" customFormat="1" ht="12" x14ac:dyDescent="0.2">
      <c r="A530" s="94">
        <v>39771</v>
      </c>
      <c r="B530" s="87">
        <v>40745</v>
      </c>
      <c r="C530" s="74" t="s">
        <v>900</v>
      </c>
      <c r="D530" s="73" t="s">
        <v>102</v>
      </c>
      <c r="E530" s="75">
        <v>3</v>
      </c>
      <c r="F530" s="75"/>
      <c r="G530" s="75"/>
      <c r="H530" s="75">
        <f t="shared" si="85"/>
        <v>15.43</v>
      </c>
      <c r="I530" s="75">
        <f t="shared" si="86"/>
        <v>19.690000000000001</v>
      </c>
      <c r="J530" s="76">
        <f t="shared" si="87"/>
        <v>46.29</v>
      </c>
      <c r="K530" s="76">
        <f t="shared" si="88"/>
        <v>59.07</v>
      </c>
      <c r="L530" s="76"/>
      <c r="M530" s="76"/>
      <c r="N530" s="76"/>
      <c r="O530" s="51"/>
      <c r="R530" s="53">
        <v>15.43</v>
      </c>
    </row>
    <row r="531" spans="1:18" s="56" customFormat="1" ht="12" x14ac:dyDescent="0.2">
      <c r="A531" s="73" t="s">
        <v>901</v>
      </c>
      <c r="B531" s="87">
        <v>41111</v>
      </c>
      <c r="C531" s="74" t="s">
        <v>902</v>
      </c>
      <c r="D531" s="73" t="s">
        <v>102</v>
      </c>
      <c r="E531" s="75">
        <v>8</v>
      </c>
      <c r="F531" s="75"/>
      <c r="G531" s="75"/>
      <c r="H531" s="75">
        <f t="shared" si="85"/>
        <v>80.319999999999993</v>
      </c>
      <c r="I531" s="75">
        <f t="shared" si="86"/>
        <v>102.48</v>
      </c>
      <c r="J531" s="76">
        <f t="shared" si="87"/>
        <v>642.55999999999995</v>
      </c>
      <c r="K531" s="76">
        <f t="shared" si="88"/>
        <v>819.84</v>
      </c>
      <c r="L531" s="76"/>
      <c r="M531" s="76"/>
      <c r="N531" s="76"/>
      <c r="O531" s="51"/>
      <c r="R531" s="53">
        <v>80.319999999999993</v>
      </c>
    </row>
    <row r="532" spans="1:18" s="56" customFormat="1" ht="12" x14ac:dyDescent="0.2">
      <c r="A532" s="73" t="s">
        <v>696</v>
      </c>
      <c r="B532" s="87">
        <v>41476</v>
      </c>
      <c r="C532" s="74" t="s">
        <v>903</v>
      </c>
      <c r="D532" s="73" t="s">
        <v>102</v>
      </c>
      <c r="E532" s="75">
        <v>8</v>
      </c>
      <c r="F532" s="75"/>
      <c r="G532" s="75"/>
      <c r="H532" s="75">
        <f t="shared" si="85"/>
        <v>165.35</v>
      </c>
      <c r="I532" s="75">
        <f t="shared" si="86"/>
        <v>210.97</v>
      </c>
      <c r="J532" s="76">
        <f t="shared" si="87"/>
        <v>1322.8</v>
      </c>
      <c r="K532" s="76">
        <f t="shared" si="88"/>
        <v>1687.76</v>
      </c>
      <c r="L532" s="76"/>
      <c r="M532" s="76"/>
      <c r="N532" s="76"/>
      <c r="O532" s="51"/>
      <c r="R532" s="53">
        <v>165.35</v>
      </c>
    </row>
    <row r="533" spans="1:18" s="56" customFormat="1" ht="12" x14ac:dyDescent="0.2">
      <c r="A533" s="72"/>
      <c r="B533" s="71"/>
      <c r="C533" s="71"/>
      <c r="D533" s="71"/>
      <c r="E533" s="71"/>
      <c r="F533" s="71"/>
      <c r="G533" s="71"/>
      <c r="H533" s="75"/>
      <c r="I533" s="77" t="s">
        <v>904</v>
      </c>
      <c r="J533" s="78">
        <f>SUM(J520:J532)</f>
        <v>5287.29</v>
      </c>
      <c r="K533" s="78">
        <f>SUM(K520:K532)</f>
        <v>6746.16</v>
      </c>
      <c r="L533" s="78"/>
      <c r="M533" s="78"/>
      <c r="N533" s="78"/>
      <c r="O533" s="60"/>
      <c r="R533" s="59"/>
    </row>
    <row r="534" spans="1:18" s="56" customFormat="1" ht="12" x14ac:dyDescent="0.2">
      <c r="A534" s="72"/>
      <c r="B534" s="70" t="s">
        <v>905</v>
      </c>
      <c r="C534" s="71" t="s">
        <v>906</v>
      </c>
      <c r="D534" s="72"/>
      <c r="E534" s="72"/>
      <c r="F534" s="72"/>
      <c r="G534" s="72"/>
      <c r="H534" s="75"/>
      <c r="I534" s="72"/>
      <c r="J534" s="72"/>
      <c r="K534" s="72"/>
      <c r="L534" s="72"/>
      <c r="M534" s="72"/>
      <c r="N534" s="72"/>
      <c r="O534" s="52"/>
      <c r="R534" s="52"/>
    </row>
    <row r="535" spans="1:18" s="56" customFormat="1" ht="24" x14ac:dyDescent="0.2">
      <c r="A535" s="73" t="s">
        <v>308</v>
      </c>
      <c r="B535" s="80">
        <v>44409</v>
      </c>
      <c r="C535" s="74" t="s">
        <v>907</v>
      </c>
      <c r="D535" s="73" t="s">
        <v>102</v>
      </c>
      <c r="E535" s="75">
        <v>4</v>
      </c>
      <c r="F535" s="75"/>
      <c r="G535" s="75"/>
      <c r="H535" s="75">
        <f t="shared" ref="H535:H546" si="89">ROUND(R535*$R$12,2)</f>
        <v>53.79</v>
      </c>
      <c r="I535" s="75">
        <f t="shared" ref="I535:I546" si="90">ROUND(H535*(1+$S$1),2)</f>
        <v>68.63</v>
      </c>
      <c r="J535" s="76">
        <f t="shared" ref="J535:J546" si="91">ROUND(E535*H535,2)</f>
        <v>215.16</v>
      </c>
      <c r="K535" s="76">
        <f t="shared" ref="K535:K546" si="92">ROUND(E535*I535,2)</f>
        <v>274.52</v>
      </c>
      <c r="L535" s="76"/>
      <c r="M535" s="76"/>
      <c r="N535" s="76"/>
      <c r="O535" s="51"/>
      <c r="R535" s="53">
        <v>53.79</v>
      </c>
    </row>
    <row r="536" spans="1:18" s="56" customFormat="1" ht="24" x14ac:dyDescent="0.2">
      <c r="A536" s="73" t="s">
        <v>308</v>
      </c>
      <c r="B536" s="80">
        <v>44410</v>
      </c>
      <c r="C536" s="74" t="s">
        <v>908</v>
      </c>
      <c r="D536" s="73" t="s">
        <v>102</v>
      </c>
      <c r="E536" s="75">
        <v>1</v>
      </c>
      <c r="F536" s="75"/>
      <c r="G536" s="75"/>
      <c r="H536" s="75">
        <f t="shared" si="89"/>
        <v>53.79</v>
      </c>
      <c r="I536" s="75">
        <f t="shared" si="90"/>
        <v>68.63</v>
      </c>
      <c r="J536" s="76">
        <f t="shared" si="91"/>
        <v>53.79</v>
      </c>
      <c r="K536" s="76">
        <f t="shared" si="92"/>
        <v>68.63</v>
      </c>
      <c r="L536" s="76"/>
      <c r="M536" s="76"/>
      <c r="N536" s="76"/>
      <c r="O536" s="51"/>
      <c r="R536" s="53">
        <v>53.79</v>
      </c>
    </row>
    <row r="537" spans="1:18" s="56" customFormat="1" ht="12" x14ac:dyDescent="0.2">
      <c r="A537" s="73" t="s">
        <v>308</v>
      </c>
      <c r="B537" s="80">
        <v>44411</v>
      </c>
      <c r="C537" s="74" t="s">
        <v>909</v>
      </c>
      <c r="D537" s="73" t="s">
        <v>102</v>
      </c>
      <c r="E537" s="75">
        <v>1</v>
      </c>
      <c r="F537" s="75"/>
      <c r="G537" s="75"/>
      <c r="H537" s="75">
        <f t="shared" si="89"/>
        <v>115.99</v>
      </c>
      <c r="I537" s="75">
        <f t="shared" si="90"/>
        <v>147.99</v>
      </c>
      <c r="J537" s="76">
        <f t="shared" si="91"/>
        <v>115.99</v>
      </c>
      <c r="K537" s="76">
        <f t="shared" si="92"/>
        <v>147.99</v>
      </c>
      <c r="L537" s="76"/>
      <c r="M537" s="76"/>
      <c r="N537" s="76"/>
      <c r="O537" s="51"/>
      <c r="R537" s="53">
        <v>115.99</v>
      </c>
    </row>
    <row r="538" spans="1:18" s="56" customFormat="1" ht="12" x14ac:dyDescent="0.2">
      <c r="A538" s="73" t="s">
        <v>308</v>
      </c>
      <c r="B538" s="80">
        <v>44412</v>
      </c>
      <c r="C538" s="74" t="s">
        <v>910</v>
      </c>
      <c r="D538" s="73" t="s">
        <v>102</v>
      </c>
      <c r="E538" s="75">
        <v>3</v>
      </c>
      <c r="F538" s="75"/>
      <c r="G538" s="75"/>
      <c r="H538" s="75">
        <f t="shared" si="89"/>
        <v>232.9</v>
      </c>
      <c r="I538" s="75">
        <f t="shared" si="90"/>
        <v>297.16000000000003</v>
      </c>
      <c r="J538" s="76">
        <f t="shared" si="91"/>
        <v>698.7</v>
      </c>
      <c r="K538" s="76">
        <f t="shared" si="92"/>
        <v>891.48</v>
      </c>
      <c r="L538" s="76"/>
      <c r="M538" s="76"/>
      <c r="N538" s="76"/>
      <c r="O538" s="51"/>
      <c r="R538" s="53">
        <v>232.9</v>
      </c>
    </row>
    <row r="539" spans="1:18" s="56" customFormat="1" ht="24" x14ac:dyDescent="0.2">
      <c r="A539" s="73" t="s">
        <v>308</v>
      </c>
      <c r="B539" s="80">
        <v>44413</v>
      </c>
      <c r="C539" s="74" t="s">
        <v>911</v>
      </c>
      <c r="D539" s="73" t="s">
        <v>102</v>
      </c>
      <c r="E539" s="75">
        <v>1</v>
      </c>
      <c r="F539" s="75"/>
      <c r="G539" s="75"/>
      <c r="H539" s="75">
        <f t="shared" si="89"/>
        <v>120</v>
      </c>
      <c r="I539" s="75">
        <f t="shared" si="90"/>
        <v>153.11000000000001</v>
      </c>
      <c r="J539" s="76">
        <f t="shared" si="91"/>
        <v>120</v>
      </c>
      <c r="K539" s="76">
        <f t="shared" si="92"/>
        <v>153.11000000000001</v>
      </c>
      <c r="L539" s="76"/>
      <c r="M539" s="76"/>
      <c r="N539" s="76"/>
      <c r="O539" s="51"/>
      <c r="R539" s="53">
        <v>120</v>
      </c>
    </row>
    <row r="540" spans="1:18" s="56" customFormat="1" ht="24" x14ac:dyDescent="0.2">
      <c r="A540" s="73" t="s">
        <v>308</v>
      </c>
      <c r="B540" s="80">
        <v>44414</v>
      </c>
      <c r="C540" s="74" t="s">
        <v>912</v>
      </c>
      <c r="D540" s="73" t="s">
        <v>102</v>
      </c>
      <c r="E540" s="75">
        <v>1</v>
      </c>
      <c r="F540" s="75"/>
      <c r="G540" s="75"/>
      <c r="H540" s="75">
        <f t="shared" si="89"/>
        <v>66.87</v>
      </c>
      <c r="I540" s="75">
        <f t="shared" si="90"/>
        <v>85.32</v>
      </c>
      <c r="J540" s="76">
        <f t="shared" si="91"/>
        <v>66.87</v>
      </c>
      <c r="K540" s="76">
        <f t="shared" si="92"/>
        <v>85.32</v>
      </c>
      <c r="L540" s="76"/>
      <c r="M540" s="76"/>
      <c r="N540" s="76"/>
      <c r="O540" s="51"/>
      <c r="R540" s="53">
        <v>66.87</v>
      </c>
    </row>
    <row r="541" spans="1:18" s="56" customFormat="1" ht="24" x14ac:dyDescent="0.2">
      <c r="A541" s="73" t="s">
        <v>308</v>
      </c>
      <c r="B541" s="80">
        <v>44415</v>
      </c>
      <c r="C541" s="74" t="s">
        <v>913</v>
      </c>
      <c r="D541" s="73" t="s">
        <v>102</v>
      </c>
      <c r="E541" s="75">
        <v>1</v>
      </c>
      <c r="F541" s="75"/>
      <c r="G541" s="75"/>
      <c r="H541" s="75">
        <f t="shared" si="89"/>
        <v>89.11</v>
      </c>
      <c r="I541" s="75">
        <f t="shared" si="90"/>
        <v>113.7</v>
      </c>
      <c r="J541" s="76">
        <f t="shared" si="91"/>
        <v>89.11</v>
      </c>
      <c r="K541" s="76">
        <f t="shared" si="92"/>
        <v>113.7</v>
      </c>
      <c r="L541" s="76"/>
      <c r="M541" s="76"/>
      <c r="N541" s="76"/>
      <c r="O541" s="51"/>
      <c r="R541" s="53">
        <v>89.11</v>
      </c>
    </row>
    <row r="542" spans="1:18" s="56" customFormat="1" ht="36" x14ac:dyDescent="0.2">
      <c r="A542" s="73" t="s">
        <v>308</v>
      </c>
      <c r="B542" s="80">
        <v>44416</v>
      </c>
      <c r="C542" s="74" t="s">
        <v>914</v>
      </c>
      <c r="D542" s="73" t="s">
        <v>102</v>
      </c>
      <c r="E542" s="75">
        <v>1</v>
      </c>
      <c r="F542" s="75"/>
      <c r="G542" s="75"/>
      <c r="H542" s="75">
        <f t="shared" si="89"/>
        <v>98.32</v>
      </c>
      <c r="I542" s="75">
        <f t="shared" si="90"/>
        <v>125.45</v>
      </c>
      <c r="J542" s="76">
        <f t="shared" si="91"/>
        <v>98.32</v>
      </c>
      <c r="K542" s="76">
        <f t="shared" si="92"/>
        <v>125.45</v>
      </c>
      <c r="L542" s="76"/>
      <c r="M542" s="76"/>
      <c r="N542" s="76"/>
      <c r="O542" s="51"/>
      <c r="R542" s="53">
        <v>98.32</v>
      </c>
    </row>
    <row r="543" spans="1:18" s="56" customFormat="1" ht="24" x14ac:dyDescent="0.2">
      <c r="A543" s="73" t="s">
        <v>915</v>
      </c>
      <c r="B543" s="80">
        <v>44417</v>
      </c>
      <c r="C543" s="74" t="s">
        <v>916</v>
      </c>
      <c r="D543" s="73" t="s">
        <v>102</v>
      </c>
      <c r="E543" s="75">
        <v>1</v>
      </c>
      <c r="F543" s="75"/>
      <c r="G543" s="75"/>
      <c r="H543" s="75">
        <f t="shared" si="89"/>
        <v>81.760000000000005</v>
      </c>
      <c r="I543" s="75">
        <f t="shared" si="90"/>
        <v>104.32</v>
      </c>
      <c r="J543" s="76">
        <f t="shared" si="91"/>
        <v>81.760000000000005</v>
      </c>
      <c r="K543" s="76">
        <f t="shared" si="92"/>
        <v>104.32</v>
      </c>
      <c r="L543" s="76"/>
      <c r="M543" s="76"/>
      <c r="N543" s="76"/>
      <c r="O543" s="51"/>
      <c r="R543" s="53">
        <v>81.760000000000005</v>
      </c>
    </row>
    <row r="544" spans="1:18" s="56" customFormat="1" ht="24" x14ac:dyDescent="0.2">
      <c r="A544" s="73" t="s">
        <v>917</v>
      </c>
      <c r="B544" s="87">
        <v>40411</v>
      </c>
      <c r="C544" s="74" t="s">
        <v>918</v>
      </c>
      <c r="D544" s="73" t="s">
        <v>102</v>
      </c>
      <c r="E544" s="75">
        <v>1</v>
      </c>
      <c r="F544" s="75"/>
      <c r="G544" s="75"/>
      <c r="H544" s="75">
        <f t="shared" si="89"/>
        <v>72.62</v>
      </c>
      <c r="I544" s="75">
        <f t="shared" si="90"/>
        <v>92.66</v>
      </c>
      <c r="J544" s="76">
        <f t="shared" si="91"/>
        <v>72.62</v>
      </c>
      <c r="K544" s="76">
        <f t="shared" si="92"/>
        <v>92.66</v>
      </c>
      <c r="L544" s="76"/>
      <c r="M544" s="76"/>
      <c r="N544" s="76"/>
      <c r="O544" s="51"/>
      <c r="R544" s="53">
        <v>72.62</v>
      </c>
    </row>
    <row r="545" spans="1:18" s="56" customFormat="1" ht="24" x14ac:dyDescent="0.2">
      <c r="A545" s="73" t="s">
        <v>308</v>
      </c>
      <c r="B545" s="87">
        <v>40776</v>
      </c>
      <c r="C545" s="74" t="s">
        <v>919</v>
      </c>
      <c r="D545" s="73" t="s">
        <v>102</v>
      </c>
      <c r="E545" s="75">
        <v>3</v>
      </c>
      <c r="F545" s="75"/>
      <c r="G545" s="75"/>
      <c r="H545" s="75">
        <f t="shared" si="89"/>
        <v>17.100000000000001</v>
      </c>
      <c r="I545" s="75">
        <f t="shared" si="90"/>
        <v>21.82</v>
      </c>
      <c r="J545" s="76">
        <f t="shared" si="91"/>
        <v>51.3</v>
      </c>
      <c r="K545" s="76">
        <f t="shared" si="92"/>
        <v>65.459999999999994</v>
      </c>
      <c r="L545" s="76"/>
      <c r="M545" s="76"/>
      <c r="N545" s="76"/>
      <c r="O545" s="51"/>
      <c r="R545" s="53">
        <v>17.100000000000001</v>
      </c>
    </row>
    <row r="546" spans="1:18" s="56" customFormat="1" ht="24" x14ac:dyDescent="0.2">
      <c r="A546" s="73" t="s">
        <v>308</v>
      </c>
      <c r="B546" s="87">
        <v>41142</v>
      </c>
      <c r="C546" s="74" t="s">
        <v>920</v>
      </c>
      <c r="D546" s="73" t="s">
        <v>102</v>
      </c>
      <c r="E546" s="75">
        <v>2</v>
      </c>
      <c r="F546" s="75"/>
      <c r="G546" s="75"/>
      <c r="H546" s="75">
        <f t="shared" si="89"/>
        <v>17.100000000000001</v>
      </c>
      <c r="I546" s="75">
        <f t="shared" si="90"/>
        <v>21.82</v>
      </c>
      <c r="J546" s="76">
        <f t="shared" si="91"/>
        <v>34.200000000000003</v>
      </c>
      <c r="K546" s="76">
        <f t="shared" si="92"/>
        <v>43.64</v>
      </c>
      <c r="L546" s="76"/>
      <c r="M546" s="76"/>
      <c r="N546" s="76"/>
      <c r="O546" s="51"/>
      <c r="R546" s="53">
        <v>17.100000000000001</v>
      </c>
    </row>
    <row r="547" spans="1:18" s="56" customFormat="1" ht="12" x14ac:dyDescent="0.2">
      <c r="A547" s="72"/>
      <c r="B547" s="71"/>
      <c r="C547" s="71"/>
      <c r="D547" s="71"/>
      <c r="E547" s="71"/>
      <c r="F547" s="71"/>
      <c r="G547" s="71"/>
      <c r="H547" s="75"/>
      <c r="I547" s="77" t="s">
        <v>921</v>
      </c>
      <c r="J547" s="78">
        <f>SUM(J535:J546)</f>
        <v>1697.8200000000002</v>
      </c>
      <c r="K547" s="78">
        <f>SUM(K535:K546)</f>
        <v>2166.2799999999997</v>
      </c>
      <c r="L547" s="78"/>
      <c r="M547" s="78"/>
      <c r="N547" s="78"/>
      <c r="O547" s="60"/>
      <c r="R547" s="59"/>
    </row>
    <row r="548" spans="1:18" s="56" customFormat="1" ht="12" x14ac:dyDescent="0.2">
      <c r="A548" s="72"/>
      <c r="B548" s="70" t="s">
        <v>922</v>
      </c>
      <c r="C548" s="71" t="s">
        <v>923</v>
      </c>
      <c r="D548" s="72"/>
      <c r="E548" s="72"/>
      <c r="F548" s="72"/>
      <c r="G548" s="72"/>
      <c r="H548" s="75"/>
      <c r="I548" s="72"/>
      <c r="J548" s="72"/>
      <c r="K548" s="72"/>
      <c r="L548" s="72"/>
      <c r="M548" s="72"/>
      <c r="N548" s="72"/>
      <c r="O548" s="52"/>
      <c r="R548" s="52"/>
    </row>
    <row r="549" spans="1:18" s="56" customFormat="1" ht="12" x14ac:dyDescent="0.2">
      <c r="A549" s="94">
        <v>93655</v>
      </c>
      <c r="B549" s="80">
        <v>44440</v>
      </c>
      <c r="C549" s="74" t="s">
        <v>924</v>
      </c>
      <c r="D549" s="73" t="s">
        <v>102</v>
      </c>
      <c r="E549" s="75">
        <v>41</v>
      </c>
      <c r="F549" s="75"/>
      <c r="G549" s="75"/>
      <c r="H549" s="75">
        <f t="shared" ref="H549:H564" si="93">ROUND(R549*$R$12,2)</f>
        <v>11.19</v>
      </c>
      <c r="I549" s="75">
        <f t="shared" ref="I549:I564" si="94">ROUND(H549*(1+$S$1),2)</f>
        <v>14.28</v>
      </c>
      <c r="J549" s="76">
        <f t="shared" ref="J549:J564" si="95">ROUND(E549*H549,2)</f>
        <v>458.79</v>
      </c>
      <c r="K549" s="76">
        <f t="shared" ref="K549:K564" si="96">ROUND(E549*I549,2)</f>
        <v>585.48</v>
      </c>
      <c r="L549" s="76"/>
      <c r="M549" s="76"/>
      <c r="N549" s="76"/>
      <c r="O549" s="51"/>
      <c r="R549" s="53">
        <v>11.19</v>
      </c>
    </row>
    <row r="550" spans="1:18" s="56" customFormat="1" ht="12" x14ac:dyDescent="0.2">
      <c r="A550" s="94">
        <v>93656</v>
      </c>
      <c r="B550" s="80">
        <v>44441</v>
      </c>
      <c r="C550" s="74" t="s">
        <v>925</v>
      </c>
      <c r="D550" s="73" t="s">
        <v>102</v>
      </c>
      <c r="E550" s="75">
        <v>25</v>
      </c>
      <c r="F550" s="75"/>
      <c r="G550" s="75"/>
      <c r="H550" s="75">
        <f t="shared" si="93"/>
        <v>11.19</v>
      </c>
      <c r="I550" s="75">
        <f t="shared" si="94"/>
        <v>14.28</v>
      </c>
      <c r="J550" s="76">
        <f t="shared" si="95"/>
        <v>279.75</v>
      </c>
      <c r="K550" s="76">
        <f t="shared" si="96"/>
        <v>357</v>
      </c>
      <c r="L550" s="76"/>
      <c r="M550" s="76"/>
      <c r="N550" s="76"/>
      <c r="O550" s="51"/>
      <c r="R550" s="53">
        <v>11.19</v>
      </c>
    </row>
    <row r="551" spans="1:18" s="56" customFormat="1" ht="12" x14ac:dyDescent="0.2">
      <c r="A551" s="94">
        <v>93667</v>
      </c>
      <c r="B551" s="80">
        <v>44442</v>
      </c>
      <c r="C551" s="74" t="s">
        <v>926</v>
      </c>
      <c r="D551" s="73" t="s">
        <v>102</v>
      </c>
      <c r="E551" s="75">
        <v>1</v>
      </c>
      <c r="F551" s="75"/>
      <c r="G551" s="75"/>
      <c r="H551" s="75">
        <f t="shared" si="93"/>
        <v>63.11</v>
      </c>
      <c r="I551" s="75">
        <f t="shared" si="94"/>
        <v>80.52</v>
      </c>
      <c r="J551" s="76">
        <f t="shared" si="95"/>
        <v>63.11</v>
      </c>
      <c r="K551" s="76">
        <f t="shared" si="96"/>
        <v>80.52</v>
      </c>
      <c r="L551" s="76"/>
      <c r="M551" s="76"/>
      <c r="N551" s="76"/>
      <c r="O551" s="51"/>
      <c r="R551" s="53">
        <v>63.11</v>
      </c>
    </row>
    <row r="552" spans="1:18" s="56" customFormat="1" ht="12" x14ac:dyDescent="0.2">
      <c r="A552" s="94">
        <v>93669</v>
      </c>
      <c r="B552" s="80">
        <v>44443</v>
      </c>
      <c r="C552" s="74" t="s">
        <v>927</v>
      </c>
      <c r="D552" s="73" t="s">
        <v>102</v>
      </c>
      <c r="E552" s="75">
        <v>2</v>
      </c>
      <c r="F552" s="75"/>
      <c r="G552" s="75"/>
      <c r="H552" s="75">
        <f t="shared" si="93"/>
        <v>66.849999999999994</v>
      </c>
      <c r="I552" s="75">
        <f t="shared" si="94"/>
        <v>85.29</v>
      </c>
      <c r="J552" s="76">
        <f t="shared" si="95"/>
        <v>133.69999999999999</v>
      </c>
      <c r="K552" s="76">
        <f t="shared" si="96"/>
        <v>170.58</v>
      </c>
      <c r="L552" s="76"/>
      <c r="M552" s="76"/>
      <c r="N552" s="76"/>
      <c r="O552" s="51"/>
      <c r="R552" s="53">
        <v>66.849999999999994</v>
      </c>
    </row>
    <row r="553" spans="1:18" s="56" customFormat="1" ht="12" x14ac:dyDescent="0.2">
      <c r="A553" s="94">
        <v>93671</v>
      </c>
      <c r="B553" s="80">
        <v>44444</v>
      </c>
      <c r="C553" s="74" t="s">
        <v>928</v>
      </c>
      <c r="D553" s="73" t="s">
        <v>102</v>
      </c>
      <c r="E553" s="75">
        <v>3</v>
      </c>
      <c r="F553" s="75"/>
      <c r="G553" s="75"/>
      <c r="H553" s="75">
        <f t="shared" si="93"/>
        <v>69.86</v>
      </c>
      <c r="I553" s="75">
        <f t="shared" si="94"/>
        <v>89.13</v>
      </c>
      <c r="J553" s="76">
        <f t="shared" si="95"/>
        <v>209.58</v>
      </c>
      <c r="K553" s="76">
        <f t="shared" si="96"/>
        <v>267.39</v>
      </c>
      <c r="L553" s="76"/>
      <c r="M553" s="76"/>
      <c r="N553" s="76"/>
      <c r="O553" s="51"/>
      <c r="R553" s="53">
        <v>69.86</v>
      </c>
    </row>
    <row r="554" spans="1:18" s="56" customFormat="1" ht="12" x14ac:dyDescent="0.2">
      <c r="A554" s="94">
        <v>93673</v>
      </c>
      <c r="B554" s="80">
        <v>44445</v>
      </c>
      <c r="C554" s="74" t="s">
        <v>929</v>
      </c>
      <c r="D554" s="73" t="s">
        <v>102</v>
      </c>
      <c r="E554" s="75">
        <v>1</v>
      </c>
      <c r="F554" s="75"/>
      <c r="G554" s="75"/>
      <c r="H554" s="75">
        <f t="shared" si="93"/>
        <v>80.959999999999994</v>
      </c>
      <c r="I554" s="75">
        <f t="shared" si="94"/>
        <v>103.3</v>
      </c>
      <c r="J554" s="76">
        <f t="shared" si="95"/>
        <v>80.959999999999994</v>
      </c>
      <c r="K554" s="76">
        <f t="shared" si="96"/>
        <v>103.3</v>
      </c>
      <c r="L554" s="76"/>
      <c r="M554" s="76"/>
      <c r="N554" s="76"/>
      <c r="O554" s="51"/>
      <c r="R554" s="53">
        <v>80.959999999999994</v>
      </c>
    </row>
    <row r="555" spans="1:18" s="56" customFormat="1" ht="12" x14ac:dyDescent="0.2">
      <c r="A555" s="73" t="s">
        <v>930</v>
      </c>
      <c r="B555" s="80">
        <v>44446</v>
      </c>
      <c r="C555" s="74" t="s">
        <v>931</v>
      </c>
      <c r="D555" s="73" t="s">
        <v>102</v>
      </c>
      <c r="E555" s="75">
        <v>1</v>
      </c>
      <c r="F555" s="75"/>
      <c r="G555" s="75"/>
      <c r="H555" s="75">
        <f t="shared" si="93"/>
        <v>84.91</v>
      </c>
      <c r="I555" s="75">
        <f t="shared" si="94"/>
        <v>108.34</v>
      </c>
      <c r="J555" s="76">
        <f t="shared" si="95"/>
        <v>84.91</v>
      </c>
      <c r="K555" s="76">
        <f t="shared" si="96"/>
        <v>108.34</v>
      </c>
      <c r="L555" s="76"/>
      <c r="M555" s="76"/>
      <c r="N555" s="76"/>
      <c r="O555" s="51"/>
      <c r="R555" s="53">
        <v>84.91</v>
      </c>
    </row>
    <row r="556" spans="1:18" s="56" customFormat="1" ht="12" x14ac:dyDescent="0.2">
      <c r="A556" s="73" t="s">
        <v>932</v>
      </c>
      <c r="B556" s="80">
        <v>44447</v>
      </c>
      <c r="C556" s="74" t="s">
        <v>933</v>
      </c>
      <c r="D556" s="73" t="s">
        <v>102</v>
      </c>
      <c r="E556" s="75">
        <v>1</v>
      </c>
      <c r="F556" s="75"/>
      <c r="G556" s="75"/>
      <c r="H556" s="75">
        <f t="shared" si="93"/>
        <v>84.91</v>
      </c>
      <c r="I556" s="75">
        <f t="shared" si="94"/>
        <v>108.34</v>
      </c>
      <c r="J556" s="76">
        <f t="shared" si="95"/>
        <v>84.91</v>
      </c>
      <c r="K556" s="76">
        <f t="shared" si="96"/>
        <v>108.34</v>
      </c>
      <c r="L556" s="76"/>
      <c r="M556" s="76"/>
      <c r="N556" s="76"/>
      <c r="O556" s="51"/>
      <c r="R556" s="53">
        <v>84.91</v>
      </c>
    </row>
    <row r="557" spans="1:18" s="56" customFormat="1" ht="12" x14ac:dyDescent="0.2">
      <c r="A557" s="73" t="s">
        <v>78</v>
      </c>
      <c r="B557" s="80">
        <v>44448</v>
      </c>
      <c r="C557" s="74" t="s">
        <v>934</v>
      </c>
      <c r="D557" s="73" t="s">
        <v>102</v>
      </c>
      <c r="E557" s="75">
        <v>2</v>
      </c>
      <c r="F557" s="75"/>
      <c r="G557" s="75"/>
      <c r="H557" s="75">
        <f t="shared" si="93"/>
        <v>72.77</v>
      </c>
      <c r="I557" s="75">
        <f t="shared" si="94"/>
        <v>92.85</v>
      </c>
      <c r="J557" s="76">
        <f t="shared" si="95"/>
        <v>145.54</v>
      </c>
      <c r="K557" s="76">
        <f t="shared" si="96"/>
        <v>185.7</v>
      </c>
      <c r="L557" s="76"/>
      <c r="M557" s="76"/>
      <c r="N557" s="76"/>
      <c r="O557" s="51"/>
      <c r="R557" s="53">
        <v>72.77</v>
      </c>
    </row>
    <row r="558" spans="1:18" s="56" customFormat="1" ht="12" x14ac:dyDescent="0.2">
      <c r="A558" s="73" t="s">
        <v>78</v>
      </c>
      <c r="B558" s="87">
        <v>40442</v>
      </c>
      <c r="C558" s="74" t="s">
        <v>935</v>
      </c>
      <c r="D558" s="73" t="s">
        <v>102</v>
      </c>
      <c r="E558" s="75">
        <v>1</v>
      </c>
      <c r="F558" s="75"/>
      <c r="G558" s="75"/>
      <c r="H558" s="75">
        <f t="shared" si="93"/>
        <v>72.77</v>
      </c>
      <c r="I558" s="75">
        <f t="shared" si="94"/>
        <v>92.85</v>
      </c>
      <c r="J558" s="76">
        <f t="shared" si="95"/>
        <v>72.77</v>
      </c>
      <c r="K558" s="76">
        <f t="shared" si="96"/>
        <v>92.85</v>
      </c>
      <c r="L558" s="76"/>
      <c r="M558" s="76"/>
      <c r="N558" s="76"/>
      <c r="O558" s="51"/>
      <c r="R558" s="53">
        <v>72.77</v>
      </c>
    </row>
    <row r="559" spans="1:18" s="56" customFormat="1" ht="12" x14ac:dyDescent="0.2">
      <c r="A559" s="73" t="s">
        <v>308</v>
      </c>
      <c r="B559" s="87">
        <v>40807</v>
      </c>
      <c r="C559" s="74" t="s">
        <v>936</v>
      </c>
      <c r="D559" s="73" t="s">
        <v>102</v>
      </c>
      <c r="E559" s="75">
        <v>1</v>
      </c>
      <c r="F559" s="75"/>
      <c r="G559" s="75"/>
      <c r="H559" s="75">
        <f t="shared" si="93"/>
        <v>750</v>
      </c>
      <c r="I559" s="75">
        <f t="shared" si="94"/>
        <v>956.93</v>
      </c>
      <c r="J559" s="76">
        <f t="shared" si="95"/>
        <v>750</v>
      </c>
      <c r="K559" s="76">
        <f t="shared" si="96"/>
        <v>956.93</v>
      </c>
      <c r="L559" s="76"/>
      <c r="M559" s="76"/>
      <c r="N559" s="76"/>
      <c r="O559" s="51"/>
      <c r="R559" s="53">
        <v>750</v>
      </c>
    </row>
    <row r="560" spans="1:18" s="56" customFormat="1" ht="12" x14ac:dyDescent="0.2">
      <c r="A560" s="73" t="s">
        <v>937</v>
      </c>
      <c r="B560" s="87">
        <v>41173</v>
      </c>
      <c r="C560" s="74" t="s">
        <v>938</v>
      </c>
      <c r="D560" s="73" t="s">
        <v>102</v>
      </c>
      <c r="E560" s="75">
        <v>1</v>
      </c>
      <c r="F560" s="75"/>
      <c r="G560" s="75"/>
      <c r="H560" s="75">
        <f t="shared" si="93"/>
        <v>397.29</v>
      </c>
      <c r="I560" s="75">
        <f t="shared" si="94"/>
        <v>506.9</v>
      </c>
      <c r="J560" s="76">
        <f t="shared" si="95"/>
        <v>397.29</v>
      </c>
      <c r="K560" s="76">
        <f t="shared" si="96"/>
        <v>506.9</v>
      </c>
      <c r="L560" s="76"/>
      <c r="M560" s="76"/>
      <c r="N560" s="76"/>
      <c r="O560" s="51"/>
      <c r="R560" s="53">
        <v>397.29</v>
      </c>
    </row>
    <row r="561" spans="1:18" s="56" customFormat="1" ht="24" x14ac:dyDescent="0.2">
      <c r="A561" s="73" t="s">
        <v>939</v>
      </c>
      <c r="B561" s="87">
        <v>41538</v>
      </c>
      <c r="C561" s="74" t="s">
        <v>940</v>
      </c>
      <c r="D561" s="73" t="s">
        <v>102</v>
      </c>
      <c r="E561" s="75">
        <v>1</v>
      </c>
      <c r="F561" s="75"/>
      <c r="G561" s="75"/>
      <c r="H561" s="75">
        <f t="shared" si="93"/>
        <v>762.97</v>
      </c>
      <c r="I561" s="75">
        <f t="shared" si="94"/>
        <v>973.47</v>
      </c>
      <c r="J561" s="76">
        <f t="shared" si="95"/>
        <v>762.97</v>
      </c>
      <c r="K561" s="76">
        <f t="shared" si="96"/>
        <v>973.47</v>
      </c>
      <c r="L561" s="76"/>
      <c r="M561" s="76"/>
      <c r="N561" s="76"/>
      <c r="O561" s="51"/>
      <c r="R561" s="53">
        <v>762.97</v>
      </c>
    </row>
    <row r="562" spans="1:18" s="56" customFormat="1" ht="24" x14ac:dyDescent="0.2">
      <c r="A562" s="73" t="s">
        <v>78</v>
      </c>
      <c r="B562" s="87">
        <v>41903</v>
      </c>
      <c r="C562" s="74" t="s">
        <v>941</v>
      </c>
      <c r="D562" s="73" t="s">
        <v>102</v>
      </c>
      <c r="E562" s="75">
        <v>57</v>
      </c>
      <c r="F562" s="75"/>
      <c r="G562" s="75"/>
      <c r="H562" s="75">
        <f t="shared" si="93"/>
        <v>126.31</v>
      </c>
      <c r="I562" s="75">
        <f t="shared" si="94"/>
        <v>161.16</v>
      </c>
      <c r="J562" s="76">
        <f t="shared" si="95"/>
        <v>7199.67</v>
      </c>
      <c r="K562" s="76">
        <f t="shared" si="96"/>
        <v>9186.1200000000008</v>
      </c>
      <c r="L562" s="76"/>
      <c r="M562" s="76"/>
      <c r="N562" s="76"/>
      <c r="O562" s="51"/>
      <c r="R562" s="53">
        <v>126.31</v>
      </c>
    </row>
    <row r="563" spans="1:18" s="56" customFormat="1" ht="24" x14ac:dyDescent="0.2">
      <c r="A563" s="73" t="s">
        <v>78</v>
      </c>
      <c r="B563" s="87">
        <v>42268</v>
      </c>
      <c r="C563" s="74" t="s">
        <v>942</v>
      </c>
      <c r="D563" s="73" t="s">
        <v>102</v>
      </c>
      <c r="E563" s="75">
        <v>1</v>
      </c>
      <c r="F563" s="75"/>
      <c r="G563" s="75"/>
      <c r="H563" s="75">
        <f t="shared" si="93"/>
        <v>157.28</v>
      </c>
      <c r="I563" s="75">
        <f t="shared" si="94"/>
        <v>200.67</v>
      </c>
      <c r="J563" s="76">
        <f t="shared" si="95"/>
        <v>157.28</v>
      </c>
      <c r="K563" s="76">
        <f t="shared" si="96"/>
        <v>200.67</v>
      </c>
      <c r="L563" s="76"/>
      <c r="M563" s="76"/>
      <c r="N563" s="76"/>
      <c r="O563" s="51"/>
      <c r="R563" s="53">
        <v>157.28</v>
      </c>
    </row>
    <row r="564" spans="1:18" s="56" customFormat="1" ht="36" x14ac:dyDescent="0.2">
      <c r="A564" s="73" t="s">
        <v>943</v>
      </c>
      <c r="B564" s="87">
        <v>42634</v>
      </c>
      <c r="C564" s="74" t="s">
        <v>944</v>
      </c>
      <c r="D564" s="73" t="s">
        <v>102</v>
      </c>
      <c r="E564" s="75">
        <v>4</v>
      </c>
      <c r="F564" s="75"/>
      <c r="G564" s="75"/>
      <c r="H564" s="75">
        <f t="shared" si="93"/>
        <v>99.53</v>
      </c>
      <c r="I564" s="75">
        <f t="shared" si="94"/>
        <v>126.99</v>
      </c>
      <c r="J564" s="76">
        <f t="shared" si="95"/>
        <v>398.12</v>
      </c>
      <c r="K564" s="76">
        <f t="shared" si="96"/>
        <v>507.96</v>
      </c>
      <c r="L564" s="76"/>
      <c r="M564" s="76"/>
      <c r="N564" s="76"/>
      <c r="O564" s="51"/>
      <c r="R564" s="53">
        <v>99.53</v>
      </c>
    </row>
    <row r="565" spans="1:18" s="56" customFormat="1" ht="12" x14ac:dyDescent="0.2">
      <c r="A565" s="72"/>
      <c r="B565" s="71"/>
      <c r="C565" s="71"/>
      <c r="D565" s="71"/>
      <c r="E565" s="71"/>
      <c r="F565" s="71"/>
      <c r="G565" s="71"/>
      <c r="H565" s="75"/>
      <c r="I565" s="77" t="s">
        <v>945</v>
      </c>
      <c r="J565" s="78">
        <f>SUM(J549:J564)</f>
        <v>11279.350000000002</v>
      </c>
      <c r="K565" s="78">
        <f>SUM(K549:K564)</f>
        <v>14391.55</v>
      </c>
      <c r="L565" s="78"/>
      <c r="M565" s="78"/>
      <c r="N565" s="78"/>
      <c r="O565" s="60"/>
      <c r="R565" s="59"/>
    </row>
    <row r="566" spans="1:18" s="56" customFormat="1" ht="12" x14ac:dyDescent="0.2">
      <c r="A566" s="72"/>
      <c r="B566" s="70" t="s">
        <v>946</v>
      </c>
      <c r="C566" s="71" t="s">
        <v>947</v>
      </c>
      <c r="D566" s="71"/>
      <c r="E566" s="71"/>
      <c r="F566" s="71"/>
      <c r="G566" s="71"/>
      <c r="H566" s="75"/>
      <c r="I566" s="71"/>
      <c r="J566" s="71"/>
      <c r="K566" s="72"/>
      <c r="L566" s="72"/>
      <c r="M566" s="72"/>
      <c r="N566" s="72"/>
      <c r="O566" s="52"/>
      <c r="R566" s="59"/>
    </row>
    <row r="567" spans="1:18" s="56" customFormat="1" ht="24" x14ac:dyDescent="0.2">
      <c r="A567" s="73" t="s">
        <v>948</v>
      </c>
      <c r="B567" s="84">
        <v>44470</v>
      </c>
      <c r="C567" s="74" t="s">
        <v>949</v>
      </c>
      <c r="D567" s="73" t="s">
        <v>102</v>
      </c>
      <c r="E567" s="75">
        <v>116</v>
      </c>
      <c r="F567" s="75"/>
      <c r="G567" s="75"/>
      <c r="H567" s="75">
        <f t="shared" ref="H567:H573" si="97">ROUND(R567*$R$12,2)</f>
        <v>63.58</v>
      </c>
      <c r="I567" s="75">
        <f t="shared" ref="I567:I573" si="98">ROUND(H567*(1+$S$1),2)</f>
        <v>81.12</v>
      </c>
      <c r="J567" s="76">
        <f t="shared" ref="J567:J573" si="99">ROUND(E567*H567,2)</f>
        <v>7375.28</v>
      </c>
      <c r="K567" s="76">
        <f t="shared" ref="K567:K573" si="100">ROUND(E567*I567,2)</f>
        <v>9409.92</v>
      </c>
      <c r="L567" s="76"/>
      <c r="M567" s="76"/>
      <c r="N567" s="76"/>
      <c r="O567" s="51"/>
      <c r="R567" s="53">
        <v>63.58</v>
      </c>
    </row>
    <row r="568" spans="1:18" s="56" customFormat="1" ht="24" x14ac:dyDescent="0.2">
      <c r="A568" s="73" t="s">
        <v>950</v>
      </c>
      <c r="B568" s="84">
        <v>44471</v>
      </c>
      <c r="C568" s="74" t="s">
        <v>951</v>
      </c>
      <c r="D568" s="73" t="s">
        <v>102</v>
      </c>
      <c r="E568" s="75">
        <v>19</v>
      </c>
      <c r="F568" s="75"/>
      <c r="G568" s="75"/>
      <c r="H568" s="75">
        <f t="shared" si="97"/>
        <v>102.79</v>
      </c>
      <c r="I568" s="75">
        <f t="shared" si="98"/>
        <v>131.15</v>
      </c>
      <c r="J568" s="76">
        <f t="shared" si="99"/>
        <v>1953.01</v>
      </c>
      <c r="K568" s="76">
        <f t="shared" si="100"/>
        <v>2491.85</v>
      </c>
      <c r="L568" s="76"/>
      <c r="M568" s="76"/>
      <c r="N568" s="76"/>
      <c r="O568" s="51"/>
      <c r="R568" s="53">
        <v>102.79</v>
      </c>
    </row>
    <row r="569" spans="1:18" s="56" customFormat="1" ht="24" x14ac:dyDescent="0.2">
      <c r="A569" s="94">
        <v>38769</v>
      </c>
      <c r="B569" s="84">
        <v>44472</v>
      </c>
      <c r="C569" s="74" t="s">
        <v>952</v>
      </c>
      <c r="D569" s="73" t="s">
        <v>102</v>
      </c>
      <c r="E569" s="75">
        <v>12</v>
      </c>
      <c r="F569" s="75"/>
      <c r="G569" s="75"/>
      <c r="H569" s="75">
        <f t="shared" si="97"/>
        <v>22.83</v>
      </c>
      <c r="I569" s="75">
        <f t="shared" si="98"/>
        <v>29.13</v>
      </c>
      <c r="J569" s="76">
        <f t="shared" si="99"/>
        <v>273.95999999999998</v>
      </c>
      <c r="K569" s="76">
        <f t="shared" si="100"/>
        <v>349.56</v>
      </c>
      <c r="L569" s="76"/>
      <c r="M569" s="76"/>
      <c r="N569" s="76"/>
      <c r="O569" s="51"/>
      <c r="R569" s="53">
        <v>22.83</v>
      </c>
    </row>
    <row r="570" spans="1:18" s="56" customFormat="1" ht="24" x14ac:dyDescent="0.2">
      <c r="A570" s="94">
        <v>38769</v>
      </c>
      <c r="B570" s="84">
        <v>44473</v>
      </c>
      <c r="C570" s="74" t="s">
        <v>953</v>
      </c>
      <c r="D570" s="73" t="s">
        <v>102</v>
      </c>
      <c r="E570" s="75">
        <v>18</v>
      </c>
      <c r="F570" s="75"/>
      <c r="G570" s="75"/>
      <c r="H570" s="75">
        <f t="shared" si="97"/>
        <v>22.83</v>
      </c>
      <c r="I570" s="75">
        <f t="shared" si="98"/>
        <v>29.13</v>
      </c>
      <c r="J570" s="76">
        <f t="shared" si="99"/>
        <v>410.94</v>
      </c>
      <c r="K570" s="76">
        <f t="shared" si="100"/>
        <v>524.34</v>
      </c>
      <c r="L570" s="76"/>
      <c r="M570" s="76"/>
      <c r="N570" s="76"/>
      <c r="O570" s="51"/>
      <c r="R570" s="53">
        <v>22.83</v>
      </c>
    </row>
    <row r="571" spans="1:18" s="56" customFormat="1" ht="48" x14ac:dyDescent="0.2">
      <c r="A571" s="73" t="s">
        <v>954</v>
      </c>
      <c r="B571" s="84">
        <v>44474</v>
      </c>
      <c r="C571" s="74" t="s">
        <v>955</v>
      </c>
      <c r="D571" s="73" t="s">
        <v>102</v>
      </c>
      <c r="E571" s="75">
        <v>2</v>
      </c>
      <c r="F571" s="75"/>
      <c r="G571" s="75"/>
      <c r="H571" s="75">
        <f t="shared" si="97"/>
        <v>3877.9</v>
      </c>
      <c r="I571" s="75">
        <f t="shared" si="98"/>
        <v>4947.8100000000004</v>
      </c>
      <c r="J571" s="76">
        <f t="shared" si="99"/>
        <v>7755.8</v>
      </c>
      <c r="K571" s="76">
        <f t="shared" si="100"/>
        <v>9895.6200000000008</v>
      </c>
      <c r="L571" s="76"/>
      <c r="M571" s="76"/>
      <c r="N571" s="76"/>
      <c r="O571" s="51"/>
      <c r="R571" s="51">
        <v>3877.9</v>
      </c>
    </row>
    <row r="572" spans="1:18" s="56" customFormat="1" ht="48" x14ac:dyDescent="0.2">
      <c r="A572" s="73" t="s">
        <v>956</v>
      </c>
      <c r="B572" s="84">
        <v>44475</v>
      </c>
      <c r="C572" s="74" t="s">
        <v>957</v>
      </c>
      <c r="D572" s="73" t="s">
        <v>102</v>
      </c>
      <c r="E572" s="75">
        <v>4</v>
      </c>
      <c r="F572" s="75"/>
      <c r="G572" s="75"/>
      <c r="H572" s="75">
        <f t="shared" si="97"/>
        <v>2717.21</v>
      </c>
      <c r="I572" s="75">
        <f t="shared" si="98"/>
        <v>3466.89</v>
      </c>
      <c r="J572" s="76">
        <f t="shared" si="99"/>
        <v>10868.84</v>
      </c>
      <c r="K572" s="76">
        <f t="shared" si="100"/>
        <v>13867.56</v>
      </c>
      <c r="L572" s="76"/>
      <c r="M572" s="76"/>
      <c r="N572" s="76"/>
      <c r="O572" s="51"/>
      <c r="R572" s="51">
        <v>2717.21</v>
      </c>
    </row>
    <row r="573" spans="1:18" s="56" customFormat="1" ht="72" x14ac:dyDescent="0.2">
      <c r="A573" s="73" t="s">
        <v>308</v>
      </c>
      <c r="B573" s="84">
        <v>44476</v>
      </c>
      <c r="C573" s="74" t="s">
        <v>958</v>
      </c>
      <c r="D573" s="73" t="s">
        <v>102</v>
      </c>
      <c r="E573" s="75">
        <v>5</v>
      </c>
      <c r="F573" s="75"/>
      <c r="G573" s="75"/>
      <c r="H573" s="75">
        <f t="shared" si="97"/>
        <v>135.36000000000001</v>
      </c>
      <c r="I573" s="75">
        <f t="shared" si="98"/>
        <v>172.71</v>
      </c>
      <c r="J573" s="76">
        <f t="shared" si="99"/>
        <v>676.8</v>
      </c>
      <c r="K573" s="76">
        <f t="shared" si="100"/>
        <v>863.55</v>
      </c>
      <c r="L573" s="76"/>
      <c r="M573" s="76"/>
      <c r="N573" s="76"/>
      <c r="O573" s="51"/>
      <c r="R573" s="53">
        <v>135.36000000000001</v>
      </c>
    </row>
    <row r="574" spans="1:18" s="56" customFormat="1" ht="12" x14ac:dyDescent="0.2">
      <c r="A574" s="72"/>
      <c r="B574" s="71"/>
      <c r="C574" s="71"/>
      <c r="D574" s="71"/>
      <c r="E574" s="71"/>
      <c r="F574" s="71"/>
      <c r="G574" s="71"/>
      <c r="H574" s="75"/>
      <c r="I574" s="77" t="s">
        <v>959</v>
      </c>
      <c r="J574" s="78">
        <f>SUM(J567:J573)</f>
        <v>29314.629999999997</v>
      </c>
      <c r="K574" s="78">
        <f>SUM(K567:K573)</f>
        <v>37402.400000000001</v>
      </c>
      <c r="L574" s="78"/>
      <c r="M574" s="78"/>
      <c r="N574" s="78"/>
      <c r="O574" s="60"/>
      <c r="R574" s="59"/>
    </row>
    <row r="575" spans="1:18" s="56" customFormat="1" ht="12" x14ac:dyDescent="0.2">
      <c r="A575" s="72"/>
      <c r="B575" s="70" t="s">
        <v>960</v>
      </c>
      <c r="C575" s="71" t="s">
        <v>961</v>
      </c>
      <c r="D575" s="72"/>
      <c r="E575" s="72"/>
      <c r="F575" s="72"/>
      <c r="G575" s="72"/>
      <c r="H575" s="75"/>
      <c r="I575" s="72"/>
      <c r="J575" s="72"/>
      <c r="K575" s="72"/>
      <c r="L575" s="72"/>
      <c r="M575" s="72"/>
      <c r="N575" s="72"/>
      <c r="O575" s="52"/>
      <c r="R575" s="52"/>
    </row>
    <row r="576" spans="1:18" s="56" customFormat="1" ht="12" x14ac:dyDescent="0.2">
      <c r="A576" s="94">
        <v>38112</v>
      </c>
      <c r="B576" s="84">
        <v>44501</v>
      </c>
      <c r="C576" s="74" t="s">
        <v>962</v>
      </c>
      <c r="D576" s="73" t="s">
        <v>102</v>
      </c>
      <c r="E576" s="75">
        <v>1</v>
      </c>
      <c r="F576" s="75"/>
      <c r="G576" s="75"/>
      <c r="H576" s="75">
        <f t="shared" ref="H576:H588" si="101">ROUND(R576*$R$12,2)</f>
        <v>5.53</v>
      </c>
      <c r="I576" s="75">
        <f t="shared" ref="I576:I588" si="102">ROUND(H576*(1+$S$1),2)</f>
        <v>7.06</v>
      </c>
      <c r="J576" s="76">
        <f t="shared" ref="J576:J588" si="103">ROUND(E576*H576,2)</f>
        <v>5.53</v>
      </c>
      <c r="K576" s="76">
        <f t="shared" ref="K576:K588" si="104">ROUND(E576*I576,2)</f>
        <v>7.06</v>
      </c>
      <c r="L576" s="76"/>
      <c r="M576" s="76"/>
      <c r="N576" s="76"/>
      <c r="O576" s="51"/>
      <c r="R576" s="53">
        <v>5.53</v>
      </c>
    </row>
    <row r="577" spans="1:18" s="56" customFormat="1" ht="12" x14ac:dyDescent="0.2">
      <c r="A577" s="94">
        <v>38112</v>
      </c>
      <c r="B577" s="84">
        <v>44502</v>
      </c>
      <c r="C577" s="74" t="s">
        <v>963</v>
      </c>
      <c r="D577" s="73" t="s">
        <v>102</v>
      </c>
      <c r="E577" s="75">
        <v>49</v>
      </c>
      <c r="F577" s="75"/>
      <c r="G577" s="75"/>
      <c r="H577" s="75">
        <f t="shared" si="101"/>
        <v>5.53</v>
      </c>
      <c r="I577" s="75">
        <f t="shared" si="102"/>
        <v>7.06</v>
      </c>
      <c r="J577" s="76">
        <f t="shared" si="103"/>
        <v>270.97000000000003</v>
      </c>
      <c r="K577" s="76">
        <f t="shared" si="104"/>
        <v>345.94</v>
      </c>
      <c r="L577" s="76"/>
      <c r="M577" s="76"/>
      <c r="N577" s="76"/>
      <c r="O577" s="51"/>
      <c r="R577" s="53">
        <v>5.53</v>
      </c>
    </row>
    <row r="578" spans="1:18" s="56" customFormat="1" ht="12" x14ac:dyDescent="0.2">
      <c r="A578" s="94">
        <v>38079</v>
      </c>
      <c r="B578" s="84">
        <v>44503</v>
      </c>
      <c r="C578" s="74" t="s">
        <v>964</v>
      </c>
      <c r="D578" s="73" t="s">
        <v>102</v>
      </c>
      <c r="E578" s="75">
        <v>2</v>
      </c>
      <c r="F578" s="75"/>
      <c r="G578" s="75"/>
      <c r="H578" s="75">
        <f t="shared" si="101"/>
        <v>17.579999999999998</v>
      </c>
      <c r="I578" s="75">
        <f t="shared" si="102"/>
        <v>22.43</v>
      </c>
      <c r="J578" s="76">
        <f t="shared" si="103"/>
        <v>35.159999999999997</v>
      </c>
      <c r="K578" s="76">
        <f t="shared" si="104"/>
        <v>44.86</v>
      </c>
      <c r="L578" s="76"/>
      <c r="M578" s="76"/>
      <c r="N578" s="76"/>
      <c r="O578" s="51"/>
      <c r="R578" s="53">
        <v>17.579999999999998</v>
      </c>
    </row>
    <row r="579" spans="1:18" s="56" customFormat="1" ht="12" x14ac:dyDescent="0.2">
      <c r="A579" s="94">
        <v>38071</v>
      </c>
      <c r="B579" s="84">
        <v>44504</v>
      </c>
      <c r="C579" s="74" t="s">
        <v>965</v>
      </c>
      <c r="D579" s="73" t="s">
        <v>102</v>
      </c>
      <c r="E579" s="75">
        <v>5</v>
      </c>
      <c r="F579" s="75"/>
      <c r="G579" s="75"/>
      <c r="H579" s="75">
        <f t="shared" si="101"/>
        <v>13.94</v>
      </c>
      <c r="I579" s="75">
        <f t="shared" si="102"/>
        <v>17.79</v>
      </c>
      <c r="J579" s="76">
        <f t="shared" si="103"/>
        <v>69.7</v>
      </c>
      <c r="K579" s="76">
        <f t="shared" si="104"/>
        <v>88.95</v>
      </c>
      <c r="L579" s="76"/>
      <c r="M579" s="76"/>
      <c r="N579" s="76"/>
      <c r="O579" s="51"/>
      <c r="R579" s="53">
        <v>13.94</v>
      </c>
    </row>
    <row r="580" spans="1:18" s="56" customFormat="1" ht="12" x14ac:dyDescent="0.2">
      <c r="A580" s="94">
        <v>38070</v>
      </c>
      <c r="B580" s="84">
        <v>44505</v>
      </c>
      <c r="C580" s="74" t="s">
        <v>966</v>
      </c>
      <c r="D580" s="73" t="s">
        <v>102</v>
      </c>
      <c r="E580" s="75">
        <v>2</v>
      </c>
      <c r="F580" s="75"/>
      <c r="G580" s="75"/>
      <c r="H580" s="75">
        <f t="shared" si="101"/>
        <v>13.47</v>
      </c>
      <c r="I580" s="75">
        <f t="shared" si="102"/>
        <v>17.190000000000001</v>
      </c>
      <c r="J580" s="76">
        <f t="shared" si="103"/>
        <v>26.94</v>
      </c>
      <c r="K580" s="76">
        <f t="shared" si="104"/>
        <v>34.380000000000003</v>
      </c>
      <c r="L580" s="76"/>
      <c r="M580" s="76"/>
      <c r="N580" s="76"/>
      <c r="O580" s="51"/>
      <c r="R580" s="53">
        <v>13.47</v>
      </c>
    </row>
    <row r="581" spans="1:18" s="56" customFormat="1" ht="12" x14ac:dyDescent="0.2">
      <c r="A581" s="94">
        <v>38070</v>
      </c>
      <c r="B581" s="84">
        <v>44506</v>
      </c>
      <c r="C581" s="74" t="s">
        <v>967</v>
      </c>
      <c r="D581" s="73" t="s">
        <v>102</v>
      </c>
      <c r="E581" s="75">
        <v>18</v>
      </c>
      <c r="F581" s="75"/>
      <c r="G581" s="75"/>
      <c r="H581" s="75">
        <f t="shared" si="101"/>
        <v>13.47</v>
      </c>
      <c r="I581" s="75">
        <f t="shared" si="102"/>
        <v>17.190000000000001</v>
      </c>
      <c r="J581" s="76">
        <f t="shared" si="103"/>
        <v>242.46</v>
      </c>
      <c r="K581" s="76">
        <f t="shared" si="104"/>
        <v>309.42</v>
      </c>
      <c r="L581" s="76"/>
      <c r="M581" s="76"/>
      <c r="N581" s="76"/>
      <c r="O581" s="51"/>
      <c r="R581" s="53">
        <v>13.47</v>
      </c>
    </row>
    <row r="582" spans="1:18" s="56" customFormat="1" ht="12" x14ac:dyDescent="0.2">
      <c r="A582" s="94">
        <v>38074</v>
      </c>
      <c r="B582" s="84">
        <v>44507</v>
      </c>
      <c r="C582" s="74" t="s">
        <v>968</v>
      </c>
      <c r="D582" s="73" t="s">
        <v>102</v>
      </c>
      <c r="E582" s="75">
        <v>2</v>
      </c>
      <c r="F582" s="75"/>
      <c r="G582" s="75"/>
      <c r="H582" s="75">
        <f t="shared" si="101"/>
        <v>20.48</v>
      </c>
      <c r="I582" s="75">
        <f t="shared" si="102"/>
        <v>26.13</v>
      </c>
      <c r="J582" s="76">
        <f t="shared" si="103"/>
        <v>40.96</v>
      </c>
      <c r="K582" s="76">
        <f t="shared" si="104"/>
        <v>52.26</v>
      </c>
      <c r="L582" s="76"/>
      <c r="M582" s="76"/>
      <c r="N582" s="76"/>
      <c r="O582" s="51"/>
      <c r="R582" s="53">
        <v>20.48</v>
      </c>
    </row>
    <row r="583" spans="1:18" s="56" customFormat="1" ht="24" x14ac:dyDescent="0.2">
      <c r="A583" s="73" t="s">
        <v>308</v>
      </c>
      <c r="B583" s="84">
        <v>44508</v>
      </c>
      <c r="C583" s="74" t="s">
        <v>969</v>
      </c>
      <c r="D583" s="73" t="s">
        <v>102</v>
      </c>
      <c r="E583" s="75">
        <v>1</v>
      </c>
      <c r="F583" s="75"/>
      <c r="G583" s="75"/>
      <c r="H583" s="75">
        <f t="shared" si="101"/>
        <v>3.9</v>
      </c>
      <c r="I583" s="75">
        <f t="shared" si="102"/>
        <v>4.9800000000000004</v>
      </c>
      <c r="J583" s="76">
        <f t="shared" si="103"/>
        <v>3.9</v>
      </c>
      <c r="K583" s="76">
        <f t="shared" si="104"/>
        <v>4.9800000000000004</v>
      </c>
      <c r="L583" s="76"/>
      <c r="M583" s="76"/>
      <c r="N583" s="76"/>
      <c r="O583" s="51"/>
      <c r="R583" s="53">
        <v>3.9</v>
      </c>
    </row>
    <row r="584" spans="1:18" s="56" customFormat="1" ht="24" x14ac:dyDescent="0.2">
      <c r="A584" s="94">
        <v>38108</v>
      </c>
      <c r="B584" s="84">
        <v>44509</v>
      </c>
      <c r="C584" s="74" t="s">
        <v>970</v>
      </c>
      <c r="D584" s="73" t="s">
        <v>102</v>
      </c>
      <c r="E584" s="75">
        <v>6</v>
      </c>
      <c r="F584" s="75"/>
      <c r="G584" s="75"/>
      <c r="H584" s="75">
        <f t="shared" si="101"/>
        <v>38.54</v>
      </c>
      <c r="I584" s="75">
        <f t="shared" si="102"/>
        <v>49.17</v>
      </c>
      <c r="J584" s="76">
        <f t="shared" si="103"/>
        <v>231.24</v>
      </c>
      <c r="K584" s="76">
        <f t="shared" si="104"/>
        <v>295.02</v>
      </c>
      <c r="L584" s="76"/>
      <c r="M584" s="76"/>
      <c r="N584" s="76"/>
      <c r="O584" s="51"/>
      <c r="R584" s="53">
        <v>38.54</v>
      </c>
    </row>
    <row r="585" spans="1:18" s="56" customFormat="1" ht="12" x14ac:dyDescent="0.2">
      <c r="A585" s="94">
        <v>38092</v>
      </c>
      <c r="B585" s="88">
        <v>40503</v>
      </c>
      <c r="C585" s="74" t="s">
        <v>971</v>
      </c>
      <c r="D585" s="73" t="s">
        <v>102</v>
      </c>
      <c r="E585" s="75">
        <v>49</v>
      </c>
      <c r="F585" s="75"/>
      <c r="G585" s="75"/>
      <c r="H585" s="75">
        <f t="shared" si="101"/>
        <v>1.85</v>
      </c>
      <c r="I585" s="75">
        <f t="shared" si="102"/>
        <v>2.36</v>
      </c>
      <c r="J585" s="76">
        <f t="shared" si="103"/>
        <v>90.65</v>
      </c>
      <c r="K585" s="76">
        <f t="shared" si="104"/>
        <v>115.64</v>
      </c>
      <c r="L585" s="76"/>
      <c r="M585" s="76"/>
      <c r="N585" s="76"/>
      <c r="O585" s="51"/>
      <c r="R585" s="53">
        <v>1.85</v>
      </c>
    </row>
    <row r="586" spans="1:18" s="56" customFormat="1" ht="12" x14ac:dyDescent="0.2">
      <c r="A586" s="94">
        <v>38093</v>
      </c>
      <c r="B586" s="88">
        <v>40868</v>
      </c>
      <c r="C586" s="74" t="s">
        <v>972</v>
      </c>
      <c r="D586" s="73" t="s">
        <v>102</v>
      </c>
      <c r="E586" s="75">
        <v>20</v>
      </c>
      <c r="F586" s="75"/>
      <c r="G586" s="75"/>
      <c r="H586" s="75">
        <f t="shared" si="101"/>
        <v>1.91</v>
      </c>
      <c r="I586" s="75">
        <f t="shared" si="102"/>
        <v>2.44</v>
      </c>
      <c r="J586" s="76">
        <f t="shared" si="103"/>
        <v>38.200000000000003</v>
      </c>
      <c r="K586" s="76">
        <f t="shared" si="104"/>
        <v>48.8</v>
      </c>
      <c r="L586" s="76"/>
      <c r="M586" s="76"/>
      <c r="N586" s="76"/>
      <c r="O586" s="51"/>
      <c r="R586" s="53">
        <v>1.91</v>
      </c>
    </row>
    <row r="587" spans="1:18" s="56" customFormat="1" ht="12" x14ac:dyDescent="0.2">
      <c r="A587" s="94">
        <v>38094</v>
      </c>
      <c r="B587" s="88">
        <v>41234</v>
      </c>
      <c r="C587" s="74" t="s">
        <v>973</v>
      </c>
      <c r="D587" s="73" t="s">
        <v>102</v>
      </c>
      <c r="E587" s="75">
        <v>5</v>
      </c>
      <c r="F587" s="75"/>
      <c r="G587" s="75"/>
      <c r="H587" s="75">
        <f t="shared" si="101"/>
        <v>2.34</v>
      </c>
      <c r="I587" s="75">
        <f t="shared" si="102"/>
        <v>2.99</v>
      </c>
      <c r="J587" s="76">
        <f t="shared" si="103"/>
        <v>11.7</v>
      </c>
      <c r="K587" s="76">
        <f t="shared" si="104"/>
        <v>14.95</v>
      </c>
      <c r="L587" s="76"/>
      <c r="M587" s="76"/>
      <c r="N587" s="76"/>
      <c r="O587" s="51"/>
      <c r="R587" s="53">
        <v>2.34</v>
      </c>
    </row>
    <row r="588" spans="1:18" s="56" customFormat="1" ht="24" x14ac:dyDescent="0.2">
      <c r="A588" s="94">
        <v>38097</v>
      </c>
      <c r="B588" s="88">
        <v>41599</v>
      </c>
      <c r="C588" s="74" t="s">
        <v>974</v>
      </c>
      <c r="D588" s="73" t="s">
        <v>102</v>
      </c>
      <c r="E588" s="75">
        <v>1</v>
      </c>
      <c r="F588" s="75"/>
      <c r="G588" s="75"/>
      <c r="H588" s="75">
        <f t="shared" si="101"/>
        <v>4.76</v>
      </c>
      <c r="I588" s="75">
        <f t="shared" si="102"/>
        <v>6.07</v>
      </c>
      <c r="J588" s="76">
        <f t="shared" si="103"/>
        <v>4.76</v>
      </c>
      <c r="K588" s="76">
        <f t="shared" si="104"/>
        <v>6.07</v>
      </c>
      <c r="L588" s="76"/>
      <c r="M588" s="76"/>
      <c r="N588" s="76"/>
      <c r="O588" s="51"/>
      <c r="R588" s="53">
        <v>4.76</v>
      </c>
    </row>
    <row r="589" spans="1:18" s="56" customFormat="1" ht="12" x14ac:dyDescent="0.2">
      <c r="A589" s="72"/>
      <c r="B589" s="71"/>
      <c r="C589" s="71"/>
      <c r="D589" s="71"/>
      <c r="E589" s="71"/>
      <c r="F589" s="71"/>
      <c r="G589" s="71"/>
      <c r="H589" s="75"/>
      <c r="I589" s="77" t="s">
        <v>975</v>
      </c>
      <c r="J589" s="78">
        <f>SUM(J576:J588)</f>
        <v>1072.17</v>
      </c>
      <c r="K589" s="78">
        <f>SUM(K576:K588)</f>
        <v>1368.3300000000002</v>
      </c>
      <c r="L589" s="78"/>
      <c r="M589" s="78"/>
      <c r="N589" s="78"/>
      <c r="O589" s="60"/>
      <c r="R589" s="59"/>
    </row>
    <row r="590" spans="1:18" s="56" customFormat="1" ht="12" x14ac:dyDescent="0.2">
      <c r="A590" s="72"/>
      <c r="B590" s="70" t="s">
        <v>976</v>
      </c>
      <c r="C590" s="71" t="s">
        <v>977</v>
      </c>
      <c r="D590" s="71"/>
      <c r="E590" s="71"/>
      <c r="F590" s="71"/>
      <c r="G590" s="71"/>
      <c r="H590" s="75"/>
      <c r="I590" s="71"/>
      <c r="J590" s="71"/>
      <c r="K590" s="72"/>
      <c r="L590" s="72"/>
      <c r="M590" s="72"/>
      <c r="N590" s="72"/>
      <c r="O590" s="52"/>
      <c r="R590" s="59"/>
    </row>
    <row r="591" spans="1:18" s="56" customFormat="1" ht="12" x14ac:dyDescent="0.2">
      <c r="A591" s="94">
        <v>38075</v>
      </c>
      <c r="B591" s="84">
        <v>44531</v>
      </c>
      <c r="C591" s="74" t="s">
        <v>978</v>
      </c>
      <c r="D591" s="73" t="s">
        <v>102</v>
      </c>
      <c r="E591" s="75">
        <v>14</v>
      </c>
      <c r="F591" s="75"/>
      <c r="G591" s="75"/>
      <c r="H591" s="75">
        <f t="shared" ref="H591:H596" si="105">ROUND(R591*$R$12,2)</f>
        <v>12.82</v>
      </c>
      <c r="I591" s="75">
        <f t="shared" ref="I591:I596" si="106">ROUND(H591*(1+$S$1),2)</f>
        <v>16.36</v>
      </c>
      <c r="J591" s="76">
        <f t="shared" ref="J591:J596" si="107">ROUND(E591*H591,2)</f>
        <v>179.48</v>
      </c>
      <c r="K591" s="76">
        <f t="shared" ref="K591:K596" si="108">ROUND(E591*I591,2)</f>
        <v>229.04</v>
      </c>
      <c r="L591" s="76"/>
      <c r="M591" s="76"/>
      <c r="N591" s="76"/>
      <c r="O591" s="51"/>
      <c r="R591" s="53">
        <v>12.82</v>
      </c>
    </row>
    <row r="592" spans="1:18" s="56" customFormat="1" ht="36" x14ac:dyDescent="0.2">
      <c r="A592" s="73" t="s">
        <v>308</v>
      </c>
      <c r="B592" s="84">
        <v>44532</v>
      </c>
      <c r="C592" s="74" t="s">
        <v>979</v>
      </c>
      <c r="D592" s="73" t="s">
        <v>102</v>
      </c>
      <c r="E592" s="75">
        <v>7</v>
      </c>
      <c r="F592" s="75"/>
      <c r="G592" s="75"/>
      <c r="H592" s="75">
        <f t="shared" si="105"/>
        <v>3.9</v>
      </c>
      <c r="I592" s="75">
        <f t="shared" si="106"/>
        <v>4.9800000000000004</v>
      </c>
      <c r="J592" s="76">
        <f t="shared" si="107"/>
        <v>27.3</v>
      </c>
      <c r="K592" s="76">
        <f t="shared" si="108"/>
        <v>34.86</v>
      </c>
      <c r="L592" s="76"/>
      <c r="M592" s="76"/>
      <c r="N592" s="76"/>
      <c r="O592" s="51"/>
      <c r="R592" s="53">
        <v>3.9</v>
      </c>
    </row>
    <row r="593" spans="1:18" s="56" customFormat="1" ht="12" x14ac:dyDescent="0.2">
      <c r="A593" s="73" t="s">
        <v>980</v>
      </c>
      <c r="B593" s="84">
        <v>44533</v>
      </c>
      <c r="C593" s="74" t="s">
        <v>981</v>
      </c>
      <c r="D593" s="73" t="s">
        <v>102</v>
      </c>
      <c r="E593" s="75">
        <v>191</v>
      </c>
      <c r="F593" s="75"/>
      <c r="G593" s="75"/>
      <c r="H593" s="75">
        <f t="shared" si="105"/>
        <v>16.91</v>
      </c>
      <c r="I593" s="75">
        <f t="shared" si="106"/>
        <v>21.58</v>
      </c>
      <c r="J593" s="76">
        <f t="shared" si="107"/>
        <v>3229.81</v>
      </c>
      <c r="K593" s="76">
        <f t="shared" si="108"/>
        <v>4121.78</v>
      </c>
      <c r="L593" s="76"/>
      <c r="M593" s="76"/>
      <c r="N593" s="76"/>
      <c r="O593" s="51"/>
      <c r="R593" s="53">
        <v>16.91</v>
      </c>
    </row>
    <row r="594" spans="1:18" s="56" customFormat="1" ht="12" x14ac:dyDescent="0.2">
      <c r="A594" s="73" t="s">
        <v>982</v>
      </c>
      <c r="B594" s="84">
        <v>44534</v>
      </c>
      <c r="C594" s="74" t="s">
        <v>983</v>
      </c>
      <c r="D594" s="73" t="s">
        <v>102</v>
      </c>
      <c r="E594" s="75">
        <v>8</v>
      </c>
      <c r="F594" s="75"/>
      <c r="G594" s="75"/>
      <c r="H594" s="75">
        <f t="shared" si="105"/>
        <v>36.520000000000003</v>
      </c>
      <c r="I594" s="75">
        <f t="shared" si="106"/>
        <v>46.6</v>
      </c>
      <c r="J594" s="76">
        <f t="shared" si="107"/>
        <v>292.16000000000003</v>
      </c>
      <c r="K594" s="76">
        <f t="shared" si="108"/>
        <v>372.8</v>
      </c>
      <c r="L594" s="76"/>
      <c r="M594" s="76"/>
      <c r="N594" s="76"/>
      <c r="O594" s="51"/>
      <c r="R594" s="53">
        <v>36.520000000000003</v>
      </c>
    </row>
    <row r="595" spans="1:18" s="56" customFormat="1" ht="12" x14ac:dyDescent="0.2">
      <c r="A595" s="94">
        <v>38093</v>
      </c>
      <c r="B595" s="84">
        <v>44535</v>
      </c>
      <c r="C595" s="74" t="s">
        <v>984</v>
      </c>
      <c r="D595" s="73" t="s">
        <v>102</v>
      </c>
      <c r="E595" s="75">
        <v>191</v>
      </c>
      <c r="F595" s="75"/>
      <c r="G595" s="75"/>
      <c r="H595" s="75">
        <f t="shared" si="105"/>
        <v>1.91</v>
      </c>
      <c r="I595" s="75">
        <f t="shared" si="106"/>
        <v>2.44</v>
      </c>
      <c r="J595" s="76">
        <f t="shared" si="107"/>
        <v>364.81</v>
      </c>
      <c r="K595" s="76">
        <f t="shared" si="108"/>
        <v>466.04</v>
      </c>
      <c r="L595" s="76"/>
      <c r="M595" s="76"/>
      <c r="N595" s="76"/>
      <c r="O595" s="51"/>
      <c r="R595" s="53">
        <v>1.91</v>
      </c>
    </row>
    <row r="596" spans="1:18" s="56" customFormat="1" ht="12" x14ac:dyDescent="0.2">
      <c r="A596" s="94">
        <v>38091</v>
      </c>
      <c r="B596" s="84">
        <v>44536</v>
      </c>
      <c r="C596" s="74" t="s">
        <v>985</v>
      </c>
      <c r="D596" s="73" t="s">
        <v>102</v>
      </c>
      <c r="E596" s="75">
        <v>28</v>
      </c>
      <c r="F596" s="75"/>
      <c r="G596" s="75"/>
      <c r="H596" s="75">
        <f t="shared" si="105"/>
        <v>1.95</v>
      </c>
      <c r="I596" s="75">
        <f t="shared" si="106"/>
        <v>2.4900000000000002</v>
      </c>
      <c r="J596" s="76">
        <f t="shared" si="107"/>
        <v>54.6</v>
      </c>
      <c r="K596" s="76">
        <f t="shared" si="108"/>
        <v>69.72</v>
      </c>
      <c r="L596" s="76"/>
      <c r="M596" s="76"/>
      <c r="N596" s="76"/>
      <c r="O596" s="51"/>
      <c r="R596" s="53">
        <v>1.95</v>
      </c>
    </row>
    <row r="597" spans="1:18" s="56" customFormat="1" ht="12" x14ac:dyDescent="0.2">
      <c r="A597" s="72"/>
      <c r="B597" s="71"/>
      <c r="C597" s="71"/>
      <c r="D597" s="71"/>
      <c r="E597" s="71"/>
      <c r="F597" s="71"/>
      <c r="G597" s="71"/>
      <c r="H597" s="75"/>
      <c r="I597" s="77" t="s">
        <v>986</v>
      </c>
      <c r="J597" s="78">
        <f>SUM(J591:J596)</f>
        <v>4148.16</v>
      </c>
      <c r="K597" s="78">
        <f>SUM(K591:K596)</f>
        <v>5294.24</v>
      </c>
      <c r="L597" s="78"/>
      <c r="M597" s="78"/>
      <c r="N597" s="78"/>
      <c r="O597" s="60"/>
      <c r="R597" s="59"/>
    </row>
    <row r="598" spans="1:18" s="56" customFormat="1" ht="12" x14ac:dyDescent="0.2">
      <c r="A598" s="72"/>
      <c r="B598" s="70" t="s">
        <v>987</v>
      </c>
      <c r="C598" s="71" t="s">
        <v>988</v>
      </c>
      <c r="D598" s="71"/>
      <c r="E598" s="71"/>
      <c r="F598" s="71"/>
      <c r="G598" s="71"/>
      <c r="H598" s="75"/>
      <c r="I598" s="71"/>
      <c r="J598" s="71"/>
      <c r="K598" s="72"/>
      <c r="L598" s="72"/>
      <c r="M598" s="72"/>
      <c r="N598" s="72"/>
      <c r="O598" s="52"/>
      <c r="R598" s="59"/>
    </row>
    <row r="599" spans="1:18" s="56" customFormat="1" ht="12" x14ac:dyDescent="0.2">
      <c r="A599" s="73" t="s">
        <v>989</v>
      </c>
      <c r="B599" s="73" t="s">
        <v>990</v>
      </c>
      <c r="C599" s="74" t="s">
        <v>991</v>
      </c>
      <c r="D599" s="73" t="s">
        <v>102</v>
      </c>
      <c r="E599" s="75">
        <v>64</v>
      </c>
      <c r="F599" s="75"/>
      <c r="G599" s="75"/>
      <c r="H599" s="75">
        <f t="shared" ref="H599:H604" si="109">ROUND(R599*$R$12,2)</f>
        <v>3.46</v>
      </c>
      <c r="I599" s="75">
        <f t="shared" ref="I599:I604" si="110">ROUND(H599*(1+$S$1),2)</f>
        <v>4.41</v>
      </c>
      <c r="J599" s="76">
        <f t="shared" ref="J599:J604" si="111">ROUND(E599*H599,2)</f>
        <v>221.44</v>
      </c>
      <c r="K599" s="76">
        <f t="shared" ref="K599:K604" si="112">ROUND(E599*I599,2)</f>
        <v>282.24</v>
      </c>
      <c r="L599" s="76"/>
      <c r="M599" s="76"/>
      <c r="N599" s="76"/>
      <c r="O599" s="51"/>
      <c r="R599" s="53">
        <v>3.46</v>
      </c>
    </row>
    <row r="600" spans="1:18" s="56" customFormat="1" ht="12" x14ac:dyDescent="0.2">
      <c r="A600" s="94">
        <v>11950</v>
      </c>
      <c r="B600" s="73" t="s">
        <v>992</v>
      </c>
      <c r="C600" s="74" t="s">
        <v>993</v>
      </c>
      <c r="D600" s="73" t="s">
        <v>102</v>
      </c>
      <c r="E600" s="76">
        <v>1200</v>
      </c>
      <c r="F600" s="76"/>
      <c r="G600" s="76"/>
      <c r="H600" s="75">
        <f t="shared" si="109"/>
        <v>0.14000000000000001</v>
      </c>
      <c r="I600" s="75">
        <f t="shared" si="110"/>
        <v>0.18</v>
      </c>
      <c r="J600" s="76">
        <f t="shared" si="111"/>
        <v>168</v>
      </c>
      <c r="K600" s="76">
        <f t="shared" si="112"/>
        <v>216</v>
      </c>
      <c r="L600" s="76"/>
      <c r="M600" s="76"/>
      <c r="N600" s="76"/>
      <c r="O600" s="51"/>
      <c r="R600" s="53">
        <v>0.14000000000000001</v>
      </c>
    </row>
    <row r="601" spans="1:18" s="56" customFormat="1" ht="12" x14ac:dyDescent="0.2">
      <c r="A601" s="73" t="s">
        <v>308</v>
      </c>
      <c r="B601" s="73" t="s">
        <v>994</v>
      </c>
      <c r="C601" s="74" t="s">
        <v>995</v>
      </c>
      <c r="D601" s="73" t="s">
        <v>102</v>
      </c>
      <c r="E601" s="75">
        <v>32</v>
      </c>
      <c r="F601" s="75"/>
      <c r="G601" s="75"/>
      <c r="H601" s="75">
        <f t="shared" si="109"/>
        <v>4.9000000000000004</v>
      </c>
      <c r="I601" s="75">
        <f t="shared" si="110"/>
        <v>6.25</v>
      </c>
      <c r="J601" s="76">
        <f t="shared" si="111"/>
        <v>156.80000000000001</v>
      </c>
      <c r="K601" s="76">
        <f t="shared" si="112"/>
        <v>200</v>
      </c>
      <c r="L601" s="76"/>
      <c r="M601" s="76"/>
      <c r="N601" s="76"/>
      <c r="O601" s="51"/>
      <c r="R601" s="53">
        <v>4.9000000000000004</v>
      </c>
    </row>
    <row r="602" spans="1:18" s="56" customFormat="1" ht="12" x14ac:dyDescent="0.2">
      <c r="A602" s="73" t="s">
        <v>308</v>
      </c>
      <c r="B602" s="73" t="s">
        <v>996</v>
      </c>
      <c r="C602" s="74" t="s">
        <v>997</v>
      </c>
      <c r="D602" s="73" t="s">
        <v>102</v>
      </c>
      <c r="E602" s="75">
        <v>32</v>
      </c>
      <c r="F602" s="75"/>
      <c r="G602" s="75"/>
      <c r="H602" s="75">
        <f t="shared" si="109"/>
        <v>17</v>
      </c>
      <c r="I602" s="75">
        <f t="shared" si="110"/>
        <v>21.69</v>
      </c>
      <c r="J602" s="76">
        <f t="shared" si="111"/>
        <v>544</v>
      </c>
      <c r="K602" s="76">
        <f t="shared" si="112"/>
        <v>694.08</v>
      </c>
      <c r="L602" s="76"/>
      <c r="M602" s="76"/>
      <c r="N602" s="76"/>
      <c r="O602" s="51"/>
      <c r="R602" s="53">
        <v>17</v>
      </c>
    </row>
    <row r="603" spans="1:18" s="56" customFormat="1" ht="12" x14ac:dyDescent="0.2">
      <c r="A603" s="94">
        <v>39997</v>
      </c>
      <c r="B603" s="73" t="s">
        <v>998</v>
      </c>
      <c r="C603" s="74" t="s">
        <v>999</v>
      </c>
      <c r="D603" s="73" t="s">
        <v>102</v>
      </c>
      <c r="E603" s="75">
        <v>300</v>
      </c>
      <c r="F603" s="75"/>
      <c r="G603" s="75"/>
      <c r="H603" s="75">
        <f t="shared" si="109"/>
        <v>0.14000000000000001</v>
      </c>
      <c r="I603" s="75">
        <f t="shared" si="110"/>
        <v>0.18</v>
      </c>
      <c r="J603" s="76">
        <f t="shared" si="111"/>
        <v>42</v>
      </c>
      <c r="K603" s="76">
        <f t="shared" si="112"/>
        <v>54</v>
      </c>
      <c r="L603" s="76"/>
      <c r="M603" s="76"/>
      <c r="N603" s="76"/>
      <c r="O603" s="51"/>
      <c r="R603" s="53">
        <v>0.14000000000000001</v>
      </c>
    </row>
    <row r="604" spans="1:18" s="56" customFormat="1" ht="12" x14ac:dyDescent="0.2">
      <c r="A604" s="94">
        <v>39996</v>
      </c>
      <c r="B604" s="73" t="s">
        <v>1000</v>
      </c>
      <c r="C604" s="74" t="s">
        <v>1001</v>
      </c>
      <c r="D604" s="73" t="s">
        <v>81</v>
      </c>
      <c r="E604" s="75">
        <v>120</v>
      </c>
      <c r="F604" s="75"/>
      <c r="G604" s="75"/>
      <c r="H604" s="75">
        <f t="shared" si="109"/>
        <v>2.35</v>
      </c>
      <c r="I604" s="75">
        <f t="shared" si="110"/>
        <v>3</v>
      </c>
      <c r="J604" s="76">
        <f t="shared" si="111"/>
        <v>282</v>
      </c>
      <c r="K604" s="76">
        <f t="shared" si="112"/>
        <v>360</v>
      </c>
      <c r="L604" s="76"/>
      <c r="M604" s="76"/>
      <c r="N604" s="76"/>
      <c r="O604" s="51"/>
      <c r="R604" s="53">
        <v>2.35</v>
      </c>
    </row>
    <row r="605" spans="1:18" s="56" customFormat="1" ht="12" x14ac:dyDescent="0.2">
      <c r="A605" s="72"/>
      <c r="B605" s="71"/>
      <c r="C605" s="71"/>
      <c r="D605" s="71"/>
      <c r="E605" s="71"/>
      <c r="F605" s="71"/>
      <c r="G605" s="71"/>
      <c r="H605" s="75"/>
      <c r="I605" s="77" t="s">
        <v>1002</v>
      </c>
      <c r="J605" s="78">
        <f>SUM(J599:J604)</f>
        <v>1414.24</v>
      </c>
      <c r="K605" s="78">
        <f>SUM(K599:K604)</f>
        <v>1806.3200000000002</v>
      </c>
      <c r="L605" s="78"/>
      <c r="M605" s="78"/>
      <c r="N605" s="78"/>
      <c r="O605" s="60"/>
      <c r="R605" s="59"/>
    </row>
    <row r="606" spans="1:18" s="56" customFormat="1" ht="24" x14ac:dyDescent="0.2">
      <c r="A606" s="72"/>
      <c r="B606" s="70" t="s">
        <v>1003</v>
      </c>
      <c r="C606" s="71" t="s">
        <v>1004</v>
      </c>
      <c r="D606" s="71"/>
      <c r="E606" s="71"/>
      <c r="F606" s="71"/>
      <c r="G606" s="71"/>
      <c r="H606" s="75"/>
      <c r="I606" s="71"/>
      <c r="J606" s="71"/>
      <c r="K606" s="72"/>
      <c r="L606" s="72"/>
      <c r="M606" s="72"/>
      <c r="N606" s="72"/>
      <c r="O606" s="52"/>
      <c r="R606" s="59"/>
    </row>
    <row r="607" spans="1:18" s="56" customFormat="1" ht="12" x14ac:dyDescent="0.2">
      <c r="A607" s="72"/>
      <c r="B607" s="70" t="s">
        <v>1005</v>
      </c>
      <c r="C607" s="71" t="s">
        <v>1006</v>
      </c>
      <c r="D607" s="71"/>
      <c r="E607" s="71"/>
      <c r="F607" s="71"/>
      <c r="G607" s="71"/>
      <c r="H607" s="75"/>
      <c r="I607" s="71"/>
      <c r="J607" s="71"/>
      <c r="K607" s="72"/>
      <c r="L607" s="72"/>
      <c r="M607" s="72"/>
      <c r="N607" s="72"/>
      <c r="O607" s="52"/>
      <c r="R607" s="59"/>
    </row>
    <row r="608" spans="1:18" s="56" customFormat="1" ht="12" x14ac:dyDescent="0.2">
      <c r="A608" s="94">
        <v>4274</v>
      </c>
      <c r="B608" s="73" t="s">
        <v>1007</v>
      </c>
      <c r="C608" s="74" t="s">
        <v>1008</v>
      </c>
      <c r="D608" s="73" t="s">
        <v>1009</v>
      </c>
      <c r="E608" s="75">
        <v>1</v>
      </c>
      <c r="F608" s="75"/>
      <c r="G608" s="75"/>
      <c r="H608" s="75">
        <f>ROUND(R608*$R$12,2)</f>
        <v>72.459999999999994</v>
      </c>
      <c r="I608" s="75">
        <f>ROUND(H608*(1+$S$1),2)</f>
        <v>92.45</v>
      </c>
      <c r="J608" s="76">
        <f>ROUND(E608*H608,2)</f>
        <v>72.459999999999994</v>
      </c>
      <c r="K608" s="76">
        <f>ROUND(E608*I608,2)</f>
        <v>92.45</v>
      </c>
      <c r="L608" s="76"/>
      <c r="M608" s="76"/>
      <c r="N608" s="76"/>
      <c r="O608" s="51"/>
      <c r="R608" s="53">
        <v>72.459999999999994</v>
      </c>
    </row>
    <row r="609" spans="1:18" s="56" customFormat="1" ht="12" x14ac:dyDescent="0.2">
      <c r="A609" s="95">
        <v>863</v>
      </c>
      <c r="B609" s="73" t="s">
        <v>1010</v>
      </c>
      <c r="C609" s="74" t="s">
        <v>1011</v>
      </c>
      <c r="D609" s="73" t="s">
        <v>81</v>
      </c>
      <c r="E609" s="75">
        <v>600</v>
      </c>
      <c r="F609" s="75"/>
      <c r="G609" s="75"/>
      <c r="H609" s="75">
        <f>ROUND(R609*$R$12,2)</f>
        <v>13.97</v>
      </c>
      <c r="I609" s="75">
        <f>ROUND(H609*(1+$S$1),2)</f>
        <v>17.82</v>
      </c>
      <c r="J609" s="76">
        <f>ROUND(E609*H609,2)</f>
        <v>8382</v>
      </c>
      <c r="K609" s="76">
        <f>ROUND(E609*I609,2)</f>
        <v>10692</v>
      </c>
      <c r="L609" s="76"/>
      <c r="M609" s="76"/>
      <c r="N609" s="76"/>
      <c r="O609" s="51"/>
      <c r="R609" s="53">
        <v>13.97</v>
      </c>
    </row>
    <row r="610" spans="1:18" s="56" customFormat="1" ht="12" x14ac:dyDescent="0.2">
      <c r="A610" s="73" t="s">
        <v>1012</v>
      </c>
      <c r="B610" s="73" t="s">
        <v>1013</v>
      </c>
      <c r="C610" s="74" t="s">
        <v>1014</v>
      </c>
      <c r="D610" s="73" t="s">
        <v>1009</v>
      </c>
      <c r="E610" s="75">
        <v>12</v>
      </c>
      <c r="F610" s="75"/>
      <c r="G610" s="75"/>
      <c r="H610" s="75">
        <f>ROUND(R610*$R$12,2)</f>
        <v>61.88</v>
      </c>
      <c r="I610" s="75">
        <f>ROUND(H610*(1+$S$1),2)</f>
        <v>78.95</v>
      </c>
      <c r="J610" s="76">
        <f>ROUND(E610*H610,2)</f>
        <v>742.56</v>
      </c>
      <c r="K610" s="76">
        <f>ROUND(E610*I610,2)</f>
        <v>947.4</v>
      </c>
      <c r="L610" s="76"/>
      <c r="M610" s="76"/>
      <c r="N610" s="76"/>
      <c r="O610" s="51"/>
      <c r="R610" s="53">
        <v>61.88</v>
      </c>
    </row>
    <row r="611" spans="1:18" s="56" customFormat="1" ht="12" x14ac:dyDescent="0.2">
      <c r="A611" s="72"/>
      <c r="B611" s="70" t="s">
        <v>1015</v>
      </c>
      <c r="C611" s="71" t="s">
        <v>1016</v>
      </c>
      <c r="D611" s="72"/>
      <c r="E611" s="72"/>
      <c r="F611" s="72"/>
      <c r="G611" s="72"/>
      <c r="H611" s="75"/>
      <c r="I611" s="72"/>
      <c r="J611" s="72"/>
      <c r="K611" s="72"/>
      <c r="L611" s="72"/>
      <c r="M611" s="72"/>
      <c r="N611" s="72"/>
      <c r="O611" s="52"/>
      <c r="R611" s="52"/>
    </row>
    <row r="612" spans="1:18" s="56" customFormat="1" ht="12" x14ac:dyDescent="0.2">
      <c r="A612" s="73" t="s">
        <v>308</v>
      </c>
      <c r="B612" s="73" t="s">
        <v>1017</v>
      </c>
      <c r="C612" s="74" t="s">
        <v>1018</v>
      </c>
      <c r="D612" s="73" t="s">
        <v>1009</v>
      </c>
      <c r="E612" s="75">
        <v>2</v>
      </c>
      <c r="F612" s="75"/>
      <c r="G612" s="75"/>
      <c r="H612" s="75">
        <f>ROUND(R612*$R$12,2)</f>
        <v>4.3899999999999997</v>
      </c>
      <c r="I612" s="75">
        <f>ROUND(H612*(1+$S$1),2)</f>
        <v>5.6</v>
      </c>
      <c r="J612" s="76">
        <f>ROUND(E612*H612,2)</f>
        <v>8.7799999999999994</v>
      </c>
      <c r="K612" s="76">
        <f>ROUND(E612*I612,2)</f>
        <v>11.2</v>
      </c>
      <c r="L612" s="76"/>
      <c r="M612" s="76"/>
      <c r="N612" s="76"/>
      <c r="O612" s="51"/>
      <c r="R612" s="53">
        <v>4.3899999999999997</v>
      </c>
    </row>
    <row r="613" spans="1:18" s="56" customFormat="1" ht="12" x14ac:dyDescent="0.2">
      <c r="A613" s="73" t="s">
        <v>1019</v>
      </c>
      <c r="B613" s="73" t="s">
        <v>1020</v>
      </c>
      <c r="C613" s="74" t="s">
        <v>1021</v>
      </c>
      <c r="D613" s="73" t="s">
        <v>1009</v>
      </c>
      <c r="E613" s="75">
        <v>40</v>
      </c>
      <c r="F613" s="75"/>
      <c r="G613" s="75"/>
      <c r="H613" s="75">
        <f>ROUND(R613*$R$12,2)</f>
        <v>5.64</v>
      </c>
      <c r="I613" s="75">
        <f>ROUND(H613*(1+$S$1),2)</f>
        <v>7.2</v>
      </c>
      <c r="J613" s="76">
        <f>ROUND(E613*H613,2)</f>
        <v>225.6</v>
      </c>
      <c r="K613" s="76">
        <f>ROUND(E613*I613,2)</f>
        <v>288</v>
      </c>
      <c r="L613" s="76"/>
      <c r="M613" s="76"/>
      <c r="N613" s="76"/>
      <c r="O613" s="51"/>
      <c r="R613" s="53">
        <v>5.64</v>
      </c>
    </row>
    <row r="614" spans="1:18" s="56" customFormat="1" ht="12" x14ac:dyDescent="0.2">
      <c r="A614" s="73" t="s">
        <v>308</v>
      </c>
      <c r="B614" s="73" t="s">
        <v>1022</v>
      </c>
      <c r="C614" s="74" t="s">
        <v>1023</v>
      </c>
      <c r="D614" s="73" t="s">
        <v>1009</v>
      </c>
      <c r="E614" s="75">
        <v>76</v>
      </c>
      <c r="F614" s="75"/>
      <c r="G614" s="75"/>
      <c r="H614" s="75">
        <f>ROUND(R614*$R$12,2)</f>
        <v>1.84</v>
      </c>
      <c r="I614" s="75">
        <f>ROUND(H614*(1+$S$1),2)</f>
        <v>2.35</v>
      </c>
      <c r="J614" s="76">
        <f>ROUND(E614*H614,2)</f>
        <v>139.84</v>
      </c>
      <c r="K614" s="76">
        <f>ROUND(E614*I614,2)</f>
        <v>178.6</v>
      </c>
      <c r="L614" s="76"/>
      <c r="M614" s="76"/>
      <c r="N614" s="76"/>
      <c r="O614" s="51"/>
      <c r="R614" s="53">
        <v>1.84</v>
      </c>
    </row>
    <row r="615" spans="1:18" s="56" customFormat="1" ht="12" x14ac:dyDescent="0.2">
      <c r="A615" s="73" t="s">
        <v>1024</v>
      </c>
      <c r="B615" s="73" t="s">
        <v>1025</v>
      </c>
      <c r="C615" s="74" t="s">
        <v>1026</v>
      </c>
      <c r="D615" s="73" t="s">
        <v>1009</v>
      </c>
      <c r="E615" s="75">
        <v>130</v>
      </c>
      <c r="F615" s="75"/>
      <c r="G615" s="75"/>
      <c r="H615" s="75">
        <f>ROUND(R615*$R$12,2)</f>
        <v>6.28</v>
      </c>
      <c r="I615" s="75">
        <f>ROUND(H615*(1+$S$1),2)</f>
        <v>8.01</v>
      </c>
      <c r="J615" s="76">
        <f>ROUND(E615*H615,2)</f>
        <v>816.4</v>
      </c>
      <c r="K615" s="76">
        <f>ROUND(E615*I615,2)</f>
        <v>1041.3</v>
      </c>
      <c r="L615" s="76"/>
      <c r="M615" s="76"/>
      <c r="N615" s="76"/>
      <c r="O615" s="51"/>
      <c r="R615" s="53">
        <v>6.28</v>
      </c>
    </row>
    <row r="616" spans="1:18" s="56" customFormat="1" ht="12" x14ac:dyDescent="0.2">
      <c r="A616" s="72"/>
      <c r="B616" s="70" t="s">
        <v>1027</v>
      </c>
      <c r="C616" s="71" t="s">
        <v>1028</v>
      </c>
      <c r="D616" s="72"/>
      <c r="E616" s="72"/>
      <c r="F616" s="72"/>
      <c r="G616" s="72"/>
      <c r="H616" s="75"/>
      <c r="I616" s="72"/>
      <c r="J616" s="72"/>
      <c r="K616" s="72"/>
      <c r="L616" s="72"/>
      <c r="M616" s="72"/>
      <c r="N616" s="72"/>
      <c r="O616" s="52"/>
      <c r="R616" s="52"/>
    </row>
    <row r="617" spans="1:18" s="56" customFormat="1" ht="12" x14ac:dyDescent="0.2">
      <c r="A617" s="73" t="s">
        <v>1012</v>
      </c>
      <c r="B617" s="73" t="s">
        <v>1029</v>
      </c>
      <c r="C617" s="74" t="s">
        <v>1014</v>
      </c>
      <c r="D617" s="73" t="s">
        <v>1009</v>
      </c>
      <c r="E617" s="75">
        <v>34</v>
      </c>
      <c r="F617" s="75"/>
      <c r="G617" s="75"/>
      <c r="H617" s="75">
        <f>ROUND(R617*$R$12,2)</f>
        <v>61.88</v>
      </c>
      <c r="I617" s="75">
        <f>ROUND(H617*(1+$S$1),2)</f>
        <v>78.95</v>
      </c>
      <c r="J617" s="76">
        <f>ROUND(E617*H617,2)</f>
        <v>2103.92</v>
      </c>
      <c r="K617" s="76">
        <f>ROUND(E617*I617,2)</f>
        <v>2684.3</v>
      </c>
      <c r="L617" s="76"/>
      <c r="M617" s="76"/>
      <c r="N617" s="76"/>
      <c r="O617" s="51"/>
      <c r="R617" s="53">
        <v>61.88</v>
      </c>
    </row>
    <row r="618" spans="1:18" s="56" customFormat="1" ht="12" x14ac:dyDescent="0.2">
      <c r="A618" s="72"/>
      <c r="B618" s="70" t="s">
        <v>1030</v>
      </c>
      <c r="C618" s="71" t="s">
        <v>1031</v>
      </c>
      <c r="D618" s="72"/>
      <c r="E618" s="72"/>
      <c r="F618" s="72"/>
      <c r="G618" s="72"/>
      <c r="H618" s="75"/>
      <c r="I618" s="72"/>
      <c r="J618" s="72"/>
      <c r="K618" s="72"/>
      <c r="L618" s="72"/>
      <c r="M618" s="72"/>
      <c r="N618" s="72"/>
      <c r="O618" s="52"/>
      <c r="R618" s="52"/>
    </row>
    <row r="619" spans="1:18" s="56" customFormat="1" ht="12" x14ac:dyDescent="0.2">
      <c r="A619" s="73" t="s">
        <v>1012</v>
      </c>
      <c r="B619" s="73" t="s">
        <v>1032</v>
      </c>
      <c r="C619" s="74" t="s">
        <v>1014</v>
      </c>
      <c r="D619" s="73" t="s">
        <v>1009</v>
      </c>
      <c r="E619" s="75">
        <v>43</v>
      </c>
      <c r="F619" s="75"/>
      <c r="G619" s="75"/>
      <c r="H619" s="75">
        <f>ROUND(R619*$R$12,2)</f>
        <v>61.88</v>
      </c>
      <c r="I619" s="75">
        <f>ROUND(H619*(1+$S$1),2)</f>
        <v>78.95</v>
      </c>
      <c r="J619" s="76">
        <f>ROUND(E619*H619,2)</f>
        <v>2660.84</v>
      </c>
      <c r="K619" s="76">
        <f>ROUND(E619*I619,2)</f>
        <v>3394.85</v>
      </c>
      <c r="L619" s="76"/>
      <c r="M619" s="76"/>
      <c r="N619" s="76"/>
      <c r="O619" s="51"/>
      <c r="R619" s="53">
        <v>61.88</v>
      </c>
    </row>
    <row r="620" spans="1:18" s="56" customFormat="1" ht="24" x14ac:dyDescent="0.2">
      <c r="A620" s="73" t="s">
        <v>1033</v>
      </c>
      <c r="B620" s="73" t="s">
        <v>1034</v>
      </c>
      <c r="C620" s="74" t="s">
        <v>1035</v>
      </c>
      <c r="D620" s="73" t="s">
        <v>1009</v>
      </c>
      <c r="E620" s="75">
        <v>2</v>
      </c>
      <c r="F620" s="75"/>
      <c r="G620" s="75"/>
      <c r="H620" s="75">
        <f>ROUND(R620*$R$12,2)</f>
        <v>25.37</v>
      </c>
      <c r="I620" s="75">
        <f>ROUND(H620*(1+$S$1),2)</f>
        <v>32.369999999999997</v>
      </c>
      <c r="J620" s="76">
        <f>ROUND(E620*H620,2)</f>
        <v>50.74</v>
      </c>
      <c r="K620" s="76">
        <f>ROUND(E620*I620,2)</f>
        <v>64.739999999999995</v>
      </c>
      <c r="L620" s="76"/>
      <c r="M620" s="76"/>
      <c r="N620" s="76"/>
      <c r="O620" s="51"/>
      <c r="R620" s="53">
        <v>25.37</v>
      </c>
    </row>
    <row r="621" spans="1:18" s="56" customFormat="1" ht="12" x14ac:dyDescent="0.2">
      <c r="A621" s="94">
        <v>72254</v>
      </c>
      <c r="B621" s="73" t="s">
        <v>1036</v>
      </c>
      <c r="C621" s="74" t="s">
        <v>1037</v>
      </c>
      <c r="D621" s="73" t="s">
        <v>81</v>
      </c>
      <c r="E621" s="75">
        <v>75</v>
      </c>
      <c r="F621" s="75"/>
      <c r="G621" s="75"/>
      <c r="H621" s="75">
        <f>ROUND(R621*$R$12,2)</f>
        <v>30.9</v>
      </c>
      <c r="I621" s="75">
        <f>ROUND(H621*(1+$S$1),2)</f>
        <v>39.43</v>
      </c>
      <c r="J621" s="76">
        <f>ROUND(E621*H621,2)</f>
        <v>2317.5</v>
      </c>
      <c r="K621" s="76">
        <f>ROUND(E621*I621,2)</f>
        <v>2957.25</v>
      </c>
      <c r="L621" s="76"/>
      <c r="M621" s="76"/>
      <c r="N621" s="76"/>
      <c r="O621" s="51"/>
      <c r="R621" s="53">
        <v>30.9</v>
      </c>
    </row>
    <row r="622" spans="1:18" s="56" customFormat="1" ht="12" x14ac:dyDescent="0.2">
      <c r="A622" s="72"/>
      <c r="B622" s="70" t="s">
        <v>1038</v>
      </c>
      <c r="C622" s="71" t="s">
        <v>1039</v>
      </c>
      <c r="D622" s="72"/>
      <c r="E622" s="72"/>
      <c r="F622" s="72"/>
      <c r="G622" s="72"/>
      <c r="H622" s="75"/>
      <c r="I622" s="72"/>
      <c r="J622" s="72"/>
      <c r="K622" s="72"/>
      <c r="L622" s="72"/>
      <c r="M622" s="72"/>
      <c r="N622" s="72"/>
      <c r="O622" s="52"/>
      <c r="R622" s="52"/>
    </row>
    <row r="623" spans="1:18" s="56" customFormat="1" ht="24" x14ac:dyDescent="0.2">
      <c r="A623" s="73" t="s">
        <v>1040</v>
      </c>
      <c r="B623" s="73" t="s">
        <v>1041</v>
      </c>
      <c r="C623" s="74" t="s">
        <v>1042</v>
      </c>
      <c r="D623" s="73" t="s">
        <v>1009</v>
      </c>
      <c r="E623" s="75">
        <v>2</v>
      </c>
      <c r="F623" s="75"/>
      <c r="G623" s="75"/>
      <c r="H623" s="75">
        <f>ROUND(R623*$R$12,2)</f>
        <v>202.58</v>
      </c>
      <c r="I623" s="75">
        <f>ROUND(H623*(1+$S$1),2)</f>
        <v>258.47000000000003</v>
      </c>
      <c r="J623" s="76">
        <f>ROUND(E623*H623,2)</f>
        <v>405.16</v>
      </c>
      <c r="K623" s="76">
        <f>ROUND(E623*I623,2)</f>
        <v>516.94000000000005</v>
      </c>
      <c r="L623" s="76"/>
      <c r="M623" s="76"/>
      <c r="N623" s="76"/>
      <c r="O623" s="51"/>
      <c r="R623" s="53">
        <v>202.58</v>
      </c>
    </row>
    <row r="624" spans="1:18" s="56" customFormat="1" ht="12" x14ac:dyDescent="0.2">
      <c r="A624" s="72"/>
      <c r="B624" s="71"/>
      <c r="C624" s="71"/>
      <c r="D624" s="71"/>
      <c r="E624" s="71"/>
      <c r="F624" s="71"/>
      <c r="G624" s="71"/>
      <c r="H624" s="75"/>
      <c r="I624" s="77" t="s">
        <v>1043</v>
      </c>
      <c r="J624" s="78">
        <f>SUM(J608:J623)</f>
        <v>17925.8</v>
      </c>
      <c r="K624" s="78">
        <f>SUM(K608:K623)</f>
        <v>22869.03</v>
      </c>
      <c r="L624" s="78"/>
      <c r="M624" s="78"/>
      <c r="N624" s="78"/>
      <c r="O624" s="60"/>
      <c r="R624" s="59"/>
    </row>
    <row r="625" spans="1:18" s="56" customFormat="1" ht="12" x14ac:dyDescent="0.2">
      <c r="A625" s="72"/>
      <c r="B625" s="71"/>
      <c r="C625" s="71"/>
      <c r="D625" s="71"/>
      <c r="E625" s="71"/>
      <c r="F625" s="71"/>
      <c r="G625" s="71"/>
      <c r="H625" s="75"/>
      <c r="I625" s="77" t="s">
        <v>1044</v>
      </c>
      <c r="J625" s="78">
        <f>SUM(J471,J475,J483,J488,J502,J518,J533,J547,J565,J574,J589,J597,J605,J624)</f>
        <v>112385.00000000001</v>
      </c>
      <c r="K625" s="78">
        <f>SUM(K471,K475,K483,K488,K502,K518,K533,K547,K565,K574,K589,K597,K605,K624)</f>
        <v>143359.72000000003</v>
      </c>
      <c r="L625" s="78"/>
      <c r="M625" s="78"/>
      <c r="N625" s="78"/>
      <c r="O625" s="60"/>
      <c r="P625" s="58"/>
      <c r="R625" s="59"/>
    </row>
    <row r="626" spans="1:18" s="56" customFormat="1" ht="12" x14ac:dyDescent="0.2">
      <c r="A626" s="72"/>
      <c r="B626" s="70" t="s">
        <v>1045</v>
      </c>
      <c r="C626" s="71" t="s">
        <v>1046</v>
      </c>
      <c r="D626" s="72"/>
      <c r="E626" s="72"/>
      <c r="F626" s="72"/>
      <c r="G626" s="72"/>
      <c r="H626" s="75"/>
      <c r="I626" s="72"/>
      <c r="J626" s="72"/>
      <c r="K626" s="72"/>
      <c r="L626" s="72"/>
      <c r="M626" s="72"/>
      <c r="N626" s="72"/>
      <c r="O626" s="52"/>
      <c r="R626" s="52"/>
    </row>
    <row r="627" spans="1:18" s="56" customFormat="1" ht="12" x14ac:dyDescent="0.2">
      <c r="A627" s="72"/>
      <c r="B627" s="70" t="s">
        <v>1047</v>
      </c>
      <c r="C627" s="71" t="s">
        <v>1048</v>
      </c>
      <c r="D627" s="72"/>
      <c r="E627" s="72"/>
      <c r="F627" s="72"/>
      <c r="G627" s="72"/>
      <c r="H627" s="75"/>
      <c r="I627" s="72"/>
      <c r="J627" s="72"/>
      <c r="K627" s="72"/>
      <c r="L627" s="72"/>
      <c r="M627" s="72"/>
      <c r="N627" s="72"/>
      <c r="O627" s="52"/>
      <c r="R627" s="52"/>
    </row>
    <row r="628" spans="1:18" s="56" customFormat="1" ht="12" x14ac:dyDescent="0.2">
      <c r="A628" s="94">
        <v>98302</v>
      </c>
      <c r="B628" s="80">
        <v>44562</v>
      </c>
      <c r="C628" s="74" t="s">
        <v>1049</v>
      </c>
      <c r="D628" s="73" t="s">
        <v>102</v>
      </c>
      <c r="E628" s="75">
        <v>4</v>
      </c>
      <c r="F628" s="75"/>
      <c r="G628" s="75"/>
      <c r="H628" s="75">
        <f t="shared" ref="H628:H634" si="113">ROUND(R628*$R$12,2)</f>
        <v>683.89</v>
      </c>
      <c r="I628" s="75">
        <f t="shared" ref="I628:I634" si="114">ROUND(H628*(1+$S$1),2)</f>
        <v>872.58</v>
      </c>
      <c r="J628" s="76">
        <f t="shared" ref="J628:J634" si="115">ROUND(E628*H628,2)</f>
        <v>2735.56</v>
      </c>
      <c r="K628" s="76">
        <f t="shared" ref="K628:K634" si="116">ROUND(E628*I628,2)</f>
        <v>3490.32</v>
      </c>
      <c r="L628" s="76"/>
      <c r="M628" s="76"/>
      <c r="N628" s="76"/>
      <c r="O628" s="51"/>
      <c r="R628" s="53">
        <v>683.89</v>
      </c>
    </row>
    <row r="629" spans="1:18" s="56" customFormat="1" ht="12" x14ac:dyDescent="0.2">
      <c r="A629" s="73" t="s">
        <v>308</v>
      </c>
      <c r="B629" s="80">
        <v>44563</v>
      </c>
      <c r="C629" s="74" t="s">
        <v>1050</v>
      </c>
      <c r="D629" s="73" t="s">
        <v>102</v>
      </c>
      <c r="E629" s="75">
        <v>1</v>
      </c>
      <c r="F629" s="75"/>
      <c r="G629" s="75"/>
      <c r="H629" s="75">
        <f t="shared" si="113"/>
        <v>159.38</v>
      </c>
      <c r="I629" s="75">
        <f t="shared" si="114"/>
        <v>203.35</v>
      </c>
      <c r="J629" s="76">
        <f t="shared" si="115"/>
        <v>159.38</v>
      </c>
      <c r="K629" s="76">
        <f t="shared" si="116"/>
        <v>203.35</v>
      </c>
      <c r="L629" s="76"/>
      <c r="M629" s="76"/>
      <c r="N629" s="76"/>
      <c r="O629" s="51"/>
      <c r="R629" s="53">
        <v>159.38</v>
      </c>
    </row>
    <row r="630" spans="1:18" s="56" customFormat="1" ht="12" x14ac:dyDescent="0.2">
      <c r="A630" s="73" t="s">
        <v>1051</v>
      </c>
      <c r="B630" s="80">
        <v>44564</v>
      </c>
      <c r="C630" s="74" t="s">
        <v>1052</v>
      </c>
      <c r="D630" s="73" t="s">
        <v>102</v>
      </c>
      <c r="E630" s="75">
        <v>6</v>
      </c>
      <c r="F630" s="75"/>
      <c r="G630" s="75"/>
      <c r="H630" s="75">
        <f t="shared" si="113"/>
        <v>9.15</v>
      </c>
      <c r="I630" s="75">
        <f t="shared" si="114"/>
        <v>11.67</v>
      </c>
      <c r="J630" s="76">
        <f t="shared" si="115"/>
        <v>54.9</v>
      </c>
      <c r="K630" s="76">
        <f t="shared" si="116"/>
        <v>70.02</v>
      </c>
      <c r="L630" s="76"/>
      <c r="M630" s="76"/>
      <c r="N630" s="76"/>
      <c r="O630" s="51"/>
      <c r="R630" s="53">
        <v>9.15</v>
      </c>
    </row>
    <row r="631" spans="1:18" s="56" customFormat="1" ht="12" x14ac:dyDescent="0.2">
      <c r="A631" s="73" t="s">
        <v>1051</v>
      </c>
      <c r="B631" s="80">
        <v>44565</v>
      </c>
      <c r="C631" s="74" t="s">
        <v>1053</v>
      </c>
      <c r="D631" s="73" t="s">
        <v>102</v>
      </c>
      <c r="E631" s="75">
        <v>6</v>
      </c>
      <c r="F631" s="75"/>
      <c r="G631" s="75"/>
      <c r="H631" s="75">
        <f t="shared" si="113"/>
        <v>9.15</v>
      </c>
      <c r="I631" s="75">
        <f t="shared" si="114"/>
        <v>11.67</v>
      </c>
      <c r="J631" s="76">
        <f t="shared" si="115"/>
        <v>54.9</v>
      </c>
      <c r="K631" s="76">
        <f t="shared" si="116"/>
        <v>70.02</v>
      </c>
      <c r="L631" s="76"/>
      <c r="M631" s="76"/>
      <c r="N631" s="76"/>
      <c r="O631" s="51"/>
      <c r="R631" s="53">
        <v>9.15</v>
      </c>
    </row>
    <row r="632" spans="1:18" s="56" customFormat="1" ht="12" x14ac:dyDescent="0.2">
      <c r="A632" s="73" t="s">
        <v>308</v>
      </c>
      <c r="B632" s="80">
        <v>44566</v>
      </c>
      <c r="C632" s="74" t="s">
        <v>1054</v>
      </c>
      <c r="D632" s="73" t="s">
        <v>102</v>
      </c>
      <c r="E632" s="75">
        <v>6</v>
      </c>
      <c r="F632" s="75"/>
      <c r="G632" s="75"/>
      <c r="H632" s="75">
        <f t="shared" si="113"/>
        <v>84.99</v>
      </c>
      <c r="I632" s="75">
        <f t="shared" si="114"/>
        <v>108.44</v>
      </c>
      <c r="J632" s="76">
        <f t="shared" si="115"/>
        <v>509.94</v>
      </c>
      <c r="K632" s="76">
        <f t="shared" si="116"/>
        <v>650.64</v>
      </c>
      <c r="L632" s="76"/>
      <c r="M632" s="76"/>
      <c r="N632" s="76"/>
      <c r="O632" s="51"/>
      <c r="R632" s="53">
        <v>84.99</v>
      </c>
    </row>
    <row r="633" spans="1:18" s="56" customFormat="1" ht="12" x14ac:dyDescent="0.2">
      <c r="A633" s="73" t="s">
        <v>1051</v>
      </c>
      <c r="B633" s="80">
        <v>44567</v>
      </c>
      <c r="C633" s="74" t="s">
        <v>1055</v>
      </c>
      <c r="D633" s="73" t="s">
        <v>102</v>
      </c>
      <c r="E633" s="75">
        <v>2</v>
      </c>
      <c r="F633" s="75"/>
      <c r="G633" s="75"/>
      <c r="H633" s="75">
        <f t="shared" si="113"/>
        <v>9.15</v>
      </c>
      <c r="I633" s="75">
        <f t="shared" si="114"/>
        <v>11.67</v>
      </c>
      <c r="J633" s="76">
        <f t="shared" si="115"/>
        <v>18.3</v>
      </c>
      <c r="K633" s="76">
        <f t="shared" si="116"/>
        <v>23.34</v>
      </c>
      <c r="L633" s="76"/>
      <c r="M633" s="76"/>
      <c r="N633" s="76"/>
      <c r="O633" s="51"/>
      <c r="R633" s="53">
        <v>9.15</v>
      </c>
    </row>
    <row r="634" spans="1:18" s="56" customFormat="1" ht="12" x14ac:dyDescent="0.2">
      <c r="A634" s="73" t="s">
        <v>1051</v>
      </c>
      <c r="B634" s="80">
        <v>44568</v>
      </c>
      <c r="C634" s="74" t="s">
        <v>1056</v>
      </c>
      <c r="D634" s="73" t="s">
        <v>102</v>
      </c>
      <c r="E634" s="75">
        <v>1</v>
      </c>
      <c r="F634" s="75"/>
      <c r="G634" s="75"/>
      <c r="H634" s="75">
        <f t="shared" si="113"/>
        <v>9.15</v>
      </c>
      <c r="I634" s="75">
        <f t="shared" si="114"/>
        <v>11.67</v>
      </c>
      <c r="J634" s="76">
        <f t="shared" si="115"/>
        <v>9.15</v>
      </c>
      <c r="K634" s="76">
        <f t="shared" si="116"/>
        <v>11.67</v>
      </c>
      <c r="L634" s="76"/>
      <c r="M634" s="76"/>
      <c r="N634" s="76"/>
      <c r="O634" s="51"/>
      <c r="R634" s="53">
        <v>9.15</v>
      </c>
    </row>
    <row r="635" spans="1:18" s="56" customFormat="1" ht="12" x14ac:dyDescent="0.2">
      <c r="A635" s="72"/>
      <c r="B635" s="70" t="s">
        <v>1057</v>
      </c>
      <c r="C635" s="71" t="s">
        <v>1058</v>
      </c>
      <c r="D635" s="72"/>
      <c r="E635" s="72"/>
      <c r="F635" s="72"/>
      <c r="G635" s="72"/>
      <c r="H635" s="75"/>
      <c r="I635" s="72"/>
      <c r="J635" s="72"/>
      <c r="K635" s="72"/>
      <c r="L635" s="72"/>
      <c r="M635" s="72"/>
      <c r="N635" s="72"/>
      <c r="O635" s="52"/>
      <c r="R635" s="52"/>
    </row>
    <row r="636" spans="1:18" s="56" customFormat="1" ht="24" x14ac:dyDescent="0.2">
      <c r="A636" s="73" t="s">
        <v>308</v>
      </c>
      <c r="B636" s="80">
        <v>44593</v>
      </c>
      <c r="C636" s="74" t="s">
        <v>1059</v>
      </c>
      <c r="D636" s="73" t="s">
        <v>81</v>
      </c>
      <c r="E636" s="75">
        <v>890</v>
      </c>
      <c r="F636" s="75"/>
      <c r="G636" s="75"/>
      <c r="H636" s="75">
        <f>ROUND(R636*$R$12,2)</f>
        <v>2.84</v>
      </c>
      <c r="I636" s="75">
        <f>ROUND(H636*(1+$S$1),2)</f>
        <v>3.62</v>
      </c>
      <c r="J636" s="76">
        <f>ROUND(E636*H636,2)</f>
        <v>2527.6</v>
      </c>
      <c r="K636" s="76">
        <f>ROUND(E636*I636,2)</f>
        <v>3221.8</v>
      </c>
      <c r="L636" s="76"/>
      <c r="M636" s="76"/>
      <c r="N636" s="76"/>
      <c r="O636" s="51"/>
      <c r="R636" s="53">
        <v>2.84</v>
      </c>
    </row>
    <row r="637" spans="1:18" s="56" customFormat="1" ht="12" x14ac:dyDescent="0.2">
      <c r="A637" s="94">
        <v>98268</v>
      </c>
      <c r="B637" s="80">
        <v>44594</v>
      </c>
      <c r="C637" s="74" t="s">
        <v>1060</v>
      </c>
      <c r="D637" s="73" t="s">
        <v>81</v>
      </c>
      <c r="E637" s="75">
        <v>8</v>
      </c>
      <c r="F637" s="75"/>
      <c r="G637" s="75"/>
      <c r="H637" s="75">
        <f>ROUND(R637*$R$12,2)</f>
        <v>10.48</v>
      </c>
      <c r="I637" s="75">
        <f>ROUND(H637*(1+$S$1),2)</f>
        <v>13.37</v>
      </c>
      <c r="J637" s="76">
        <f>ROUND(E637*H637,2)</f>
        <v>83.84</v>
      </c>
      <c r="K637" s="76">
        <f>ROUND(E637*I637,2)</f>
        <v>106.96</v>
      </c>
      <c r="L637" s="76"/>
      <c r="M637" s="76"/>
      <c r="N637" s="76"/>
      <c r="O637" s="51"/>
      <c r="R637" s="53">
        <v>10.48</v>
      </c>
    </row>
    <row r="638" spans="1:18" s="56" customFormat="1" ht="12" x14ac:dyDescent="0.2">
      <c r="A638" s="72"/>
      <c r="B638" s="70" t="s">
        <v>1061</v>
      </c>
      <c r="C638" s="71" t="s">
        <v>1062</v>
      </c>
      <c r="D638" s="72"/>
      <c r="E638" s="72"/>
      <c r="F638" s="72"/>
      <c r="G638" s="72"/>
      <c r="H638" s="75"/>
      <c r="I638" s="72"/>
      <c r="J638" s="72"/>
      <c r="K638" s="72"/>
      <c r="L638" s="72"/>
      <c r="M638" s="72"/>
      <c r="N638" s="72"/>
      <c r="O638" s="52"/>
      <c r="R638" s="52"/>
    </row>
    <row r="639" spans="1:18" s="56" customFormat="1" ht="24" x14ac:dyDescent="0.2">
      <c r="A639" s="94">
        <v>39606</v>
      </c>
      <c r="B639" s="80">
        <v>44621</v>
      </c>
      <c r="C639" s="74" t="s">
        <v>1063</v>
      </c>
      <c r="D639" s="73" t="s">
        <v>102</v>
      </c>
      <c r="E639" s="75">
        <v>41</v>
      </c>
      <c r="F639" s="75"/>
      <c r="G639" s="75"/>
      <c r="H639" s="75">
        <f>ROUND(R639*$R$12,2)</f>
        <v>24.43</v>
      </c>
      <c r="I639" s="75">
        <f>ROUND(H639*(1+$S$1),2)</f>
        <v>31.17</v>
      </c>
      <c r="J639" s="76">
        <f>ROUND(E639*H639,2)</f>
        <v>1001.63</v>
      </c>
      <c r="K639" s="76">
        <f>ROUND(E639*I639,2)</f>
        <v>1277.97</v>
      </c>
      <c r="L639" s="76"/>
      <c r="M639" s="76"/>
      <c r="N639" s="76"/>
      <c r="O639" s="51"/>
      <c r="R639" s="53">
        <v>24.43</v>
      </c>
    </row>
    <row r="640" spans="1:18" s="56" customFormat="1" ht="24" x14ac:dyDescent="0.2">
      <c r="A640" s="94">
        <v>39604</v>
      </c>
      <c r="B640" s="80">
        <v>44622</v>
      </c>
      <c r="C640" s="74" t="s">
        <v>1064</v>
      </c>
      <c r="D640" s="73" t="s">
        <v>102</v>
      </c>
      <c r="E640" s="75">
        <v>48</v>
      </c>
      <c r="F640" s="75"/>
      <c r="G640" s="75"/>
      <c r="H640" s="75">
        <f>ROUND(R640*$R$12,2)</f>
        <v>24.43</v>
      </c>
      <c r="I640" s="75">
        <f>ROUND(H640*(1+$S$1),2)</f>
        <v>31.17</v>
      </c>
      <c r="J640" s="76">
        <f>ROUND(E640*H640,2)</f>
        <v>1172.6400000000001</v>
      </c>
      <c r="K640" s="76">
        <f>ROUND(E640*I640,2)</f>
        <v>1496.16</v>
      </c>
      <c r="L640" s="76"/>
      <c r="M640" s="76"/>
      <c r="N640" s="76"/>
      <c r="O640" s="51"/>
      <c r="R640" s="53">
        <v>24.43</v>
      </c>
    </row>
    <row r="641" spans="1:18" s="56" customFormat="1" ht="24" x14ac:dyDescent="0.2">
      <c r="A641" s="73" t="s">
        <v>308</v>
      </c>
      <c r="B641" s="80">
        <v>44623</v>
      </c>
      <c r="C641" s="74" t="s">
        <v>1065</v>
      </c>
      <c r="D641" s="73" t="s">
        <v>102</v>
      </c>
      <c r="E641" s="75">
        <v>35</v>
      </c>
      <c r="F641" s="75"/>
      <c r="G641" s="75"/>
      <c r="H641" s="75">
        <f>ROUND(R641*$R$12,2)</f>
        <v>24.43</v>
      </c>
      <c r="I641" s="75">
        <f>ROUND(H641*(1+$S$1),2)</f>
        <v>31.17</v>
      </c>
      <c r="J641" s="76">
        <f>ROUND(E641*H641,2)</f>
        <v>855.05</v>
      </c>
      <c r="K641" s="76">
        <f>ROUND(E641*I641,2)</f>
        <v>1090.95</v>
      </c>
      <c r="L641" s="76"/>
      <c r="M641" s="76"/>
      <c r="N641" s="76"/>
      <c r="O641" s="51"/>
      <c r="R641" s="53">
        <v>24.43</v>
      </c>
    </row>
    <row r="642" spans="1:18" s="56" customFormat="1" ht="12" x14ac:dyDescent="0.2">
      <c r="A642" s="73" t="s">
        <v>308</v>
      </c>
      <c r="B642" s="80">
        <v>44624</v>
      </c>
      <c r="C642" s="74" t="s">
        <v>1066</v>
      </c>
      <c r="D642" s="73" t="s">
        <v>102</v>
      </c>
      <c r="E642" s="75">
        <v>15</v>
      </c>
      <c r="F642" s="75"/>
      <c r="G642" s="75"/>
      <c r="H642" s="75">
        <f>ROUND(R642*$R$12,2)</f>
        <v>24.43</v>
      </c>
      <c r="I642" s="75">
        <f>ROUND(H642*(1+$S$1),2)</f>
        <v>31.17</v>
      </c>
      <c r="J642" s="76">
        <f>ROUND(E642*H642,2)</f>
        <v>366.45</v>
      </c>
      <c r="K642" s="76">
        <f>ROUND(E642*I642,2)</f>
        <v>467.55</v>
      </c>
      <c r="L642" s="76"/>
      <c r="M642" s="76"/>
      <c r="N642" s="76"/>
      <c r="O642" s="51"/>
      <c r="R642" s="53">
        <v>24.43</v>
      </c>
    </row>
    <row r="643" spans="1:18" s="56" customFormat="1" ht="12" x14ac:dyDescent="0.2">
      <c r="A643" s="72"/>
      <c r="B643" s="70" t="s">
        <v>1067</v>
      </c>
      <c r="C643" s="71" t="s">
        <v>977</v>
      </c>
      <c r="D643" s="72"/>
      <c r="E643" s="72"/>
      <c r="F643" s="72"/>
      <c r="G643" s="72"/>
      <c r="H643" s="75"/>
      <c r="I643" s="72"/>
      <c r="J643" s="72"/>
      <c r="K643" s="72"/>
      <c r="L643" s="72"/>
      <c r="M643" s="72"/>
      <c r="N643" s="72"/>
      <c r="O643" s="52"/>
      <c r="R643" s="52"/>
    </row>
    <row r="644" spans="1:18" s="56" customFormat="1" ht="12" x14ac:dyDescent="0.2">
      <c r="A644" s="73" t="s">
        <v>308</v>
      </c>
      <c r="B644" s="80">
        <v>44652</v>
      </c>
      <c r="C644" s="74" t="s">
        <v>1068</v>
      </c>
      <c r="D644" s="73" t="s">
        <v>102</v>
      </c>
      <c r="E644" s="75">
        <v>41</v>
      </c>
      <c r="F644" s="75"/>
      <c r="G644" s="75"/>
      <c r="H644" s="75">
        <f>ROUND(R644*$R$12,2)</f>
        <v>23.36</v>
      </c>
      <c r="I644" s="75">
        <f>ROUND(H644*(1+$S$1),2)</f>
        <v>29.81</v>
      </c>
      <c r="J644" s="76">
        <f>ROUND(E644*H644,2)</f>
        <v>957.76</v>
      </c>
      <c r="K644" s="76">
        <f>ROUND(E644*I644,2)</f>
        <v>1222.21</v>
      </c>
      <c r="L644" s="76"/>
      <c r="M644" s="76"/>
      <c r="N644" s="76"/>
      <c r="O644" s="51"/>
      <c r="R644" s="53">
        <v>23.36</v>
      </c>
    </row>
    <row r="645" spans="1:18" s="56" customFormat="1" ht="12" x14ac:dyDescent="0.2">
      <c r="A645" s="73" t="s">
        <v>308</v>
      </c>
      <c r="B645" s="80">
        <v>44653</v>
      </c>
      <c r="C645" s="74" t="s">
        <v>1069</v>
      </c>
      <c r="D645" s="73" t="s">
        <v>102</v>
      </c>
      <c r="E645" s="75">
        <v>2</v>
      </c>
      <c r="F645" s="75"/>
      <c r="G645" s="75"/>
      <c r="H645" s="75">
        <f>ROUND(R645*$R$12,2)</f>
        <v>3.6</v>
      </c>
      <c r="I645" s="75">
        <f>ROUND(H645*(1+$S$1),2)</f>
        <v>4.59</v>
      </c>
      <c r="J645" s="76">
        <f>ROUND(E645*H645,2)</f>
        <v>7.2</v>
      </c>
      <c r="K645" s="76">
        <f>ROUND(E645*I645,2)</f>
        <v>9.18</v>
      </c>
      <c r="L645" s="76"/>
      <c r="M645" s="76"/>
      <c r="N645" s="76"/>
      <c r="O645" s="51"/>
      <c r="R645" s="53">
        <v>3.6</v>
      </c>
    </row>
    <row r="646" spans="1:18" s="56" customFormat="1" ht="12" x14ac:dyDescent="0.2">
      <c r="A646" s="72"/>
      <c r="B646" s="70" t="s">
        <v>1070</v>
      </c>
      <c r="C646" s="71" t="s">
        <v>1071</v>
      </c>
      <c r="D646" s="72"/>
      <c r="E646" s="72"/>
      <c r="F646" s="72"/>
      <c r="G646" s="72"/>
      <c r="H646" s="75"/>
      <c r="I646" s="75"/>
      <c r="J646" s="75"/>
      <c r="K646" s="72"/>
      <c r="L646" s="72"/>
      <c r="M646" s="72"/>
      <c r="N646" s="72"/>
      <c r="O646" s="52"/>
      <c r="R646" s="52"/>
    </row>
    <row r="647" spans="1:18" s="56" customFormat="1" ht="24" x14ac:dyDescent="0.2">
      <c r="A647" s="94">
        <v>2559</v>
      </c>
      <c r="B647" s="80">
        <v>44682</v>
      </c>
      <c r="C647" s="74" t="s">
        <v>1072</v>
      </c>
      <c r="D647" s="73" t="s">
        <v>102</v>
      </c>
      <c r="E647" s="75">
        <v>2</v>
      </c>
      <c r="F647" s="75"/>
      <c r="G647" s="75"/>
      <c r="H647" s="75">
        <f t="shared" ref="H647:H654" si="117">ROUND(R647*$R$12,2)</f>
        <v>8.5</v>
      </c>
      <c r="I647" s="75">
        <f t="shared" ref="I647:I654" si="118">ROUND(H647*(1+$S$1),2)</f>
        <v>10.85</v>
      </c>
      <c r="J647" s="76">
        <f t="shared" ref="J647:J654" si="119">ROUND(E647*H647,2)</f>
        <v>17</v>
      </c>
      <c r="K647" s="76">
        <f t="shared" ref="K647:K654" si="120">ROUND(E647*I647,2)</f>
        <v>21.7</v>
      </c>
      <c r="L647" s="76"/>
      <c r="M647" s="76"/>
      <c r="N647" s="76"/>
      <c r="O647" s="51"/>
      <c r="R647" s="53">
        <v>8.5</v>
      </c>
    </row>
    <row r="648" spans="1:18" s="56" customFormat="1" ht="24" x14ac:dyDescent="0.2">
      <c r="A648" s="73" t="s">
        <v>78</v>
      </c>
      <c r="B648" s="80">
        <v>44683</v>
      </c>
      <c r="C648" s="74" t="s">
        <v>1073</v>
      </c>
      <c r="D648" s="73" t="s">
        <v>102</v>
      </c>
      <c r="E648" s="75">
        <v>1</v>
      </c>
      <c r="F648" s="75"/>
      <c r="G648" s="75"/>
      <c r="H648" s="75">
        <f t="shared" si="117"/>
        <v>344.17</v>
      </c>
      <c r="I648" s="75">
        <f t="shared" si="118"/>
        <v>439.13</v>
      </c>
      <c r="J648" s="76">
        <f t="shared" si="119"/>
        <v>344.17</v>
      </c>
      <c r="K648" s="76">
        <f t="shared" si="120"/>
        <v>439.13</v>
      </c>
      <c r="L648" s="76"/>
      <c r="M648" s="76"/>
      <c r="N648" s="76"/>
      <c r="O648" s="51"/>
      <c r="R648" s="53">
        <v>344.17</v>
      </c>
    </row>
    <row r="649" spans="1:18" s="56" customFormat="1" ht="48" x14ac:dyDescent="0.2">
      <c r="A649" s="73" t="s">
        <v>78</v>
      </c>
      <c r="B649" s="80">
        <v>44684</v>
      </c>
      <c r="C649" s="74" t="s">
        <v>1074</v>
      </c>
      <c r="D649" s="73" t="s">
        <v>102</v>
      </c>
      <c r="E649" s="75">
        <v>2</v>
      </c>
      <c r="F649" s="75"/>
      <c r="G649" s="75"/>
      <c r="H649" s="75">
        <f t="shared" si="117"/>
        <v>191.15</v>
      </c>
      <c r="I649" s="75">
        <f t="shared" si="118"/>
        <v>243.89</v>
      </c>
      <c r="J649" s="76">
        <f t="shared" si="119"/>
        <v>382.3</v>
      </c>
      <c r="K649" s="76">
        <f t="shared" si="120"/>
        <v>487.78</v>
      </c>
      <c r="L649" s="76"/>
      <c r="M649" s="76"/>
      <c r="N649" s="76"/>
      <c r="O649" s="51"/>
      <c r="R649" s="53">
        <v>191.15</v>
      </c>
    </row>
    <row r="650" spans="1:18" s="56" customFormat="1" ht="24" x14ac:dyDescent="0.2">
      <c r="A650" s="73" t="s">
        <v>308</v>
      </c>
      <c r="B650" s="80">
        <v>44685</v>
      </c>
      <c r="C650" s="74" t="s">
        <v>1075</v>
      </c>
      <c r="D650" s="73" t="s">
        <v>102</v>
      </c>
      <c r="E650" s="75">
        <v>1</v>
      </c>
      <c r="F650" s="75"/>
      <c r="G650" s="75"/>
      <c r="H650" s="75">
        <f t="shared" si="117"/>
        <v>7.52</v>
      </c>
      <c r="I650" s="75">
        <f t="shared" si="118"/>
        <v>9.59</v>
      </c>
      <c r="J650" s="76">
        <f t="shared" si="119"/>
        <v>7.52</v>
      </c>
      <c r="K650" s="76">
        <f t="shared" si="120"/>
        <v>9.59</v>
      </c>
      <c r="L650" s="76"/>
      <c r="M650" s="76"/>
      <c r="N650" s="76"/>
      <c r="O650" s="51"/>
      <c r="R650" s="53">
        <v>7.52</v>
      </c>
    </row>
    <row r="651" spans="1:18" s="56" customFormat="1" ht="12" x14ac:dyDescent="0.2">
      <c r="A651" s="73" t="s">
        <v>308</v>
      </c>
      <c r="B651" s="80">
        <v>44686</v>
      </c>
      <c r="C651" s="74" t="s">
        <v>1076</v>
      </c>
      <c r="D651" s="73" t="s">
        <v>102</v>
      </c>
      <c r="E651" s="75">
        <v>13</v>
      </c>
      <c r="F651" s="75"/>
      <c r="G651" s="75"/>
      <c r="H651" s="75">
        <f t="shared" si="117"/>
        <v>8.4</v>
      </c>
      <c r="I651" s="75">
        <f t="shared" si="118"/>
        <v>10.72</v>
      </c>
      <c r="J651" s="76">
        <f t="shared" si="119"/>
        <v>109.2</v>
      </c>
      <c r="K651" s="76">
        <f t="shared" si="120"/>
        <v>139.36000000000001</v>
      </c>
      <c r="L651" s="76"/>
      <c r="M651" s="76"/>
      <c r="N651" s="76"/>
      <c r="O651" s="51"/>
      <c r="R651" s="53">
        <v>8.4</v>
      </c>
    </row>
    <row r="652" spans="1:18" s="56" customFormat="1" ht="24" x14ac:dyDescent="0.2">
      <c r="A652" s="73" t="s">
        <v>308</v>
      </c>
      <c r="B652" s="80">
        <v>44687</v>
      </c>
      <c r="C652" s="74" t="s">
        <v>1077</v>
      </c>
      <c r="D652" s="73" t="s">
        <v>102</v>
      </c>
      <c r="E652" s="75">
        <v>1</v>
      </c>
      <c r="F652" s="75"/>
      <c r="G652" s="75"/>
      <c r="H652" s="75">
        <f t="shared" si="117"/>
        <v>2.4900000000000002</v>
      </c>
      <c r="I652" s="75">
        <f t="shared" si="118"/>
        <v>3.18</v>
      </c>
      <c r="J652" s="76">
        <f t="shared" si="119"/>
        <v>2.4900000000000002</v>
      </c>
      <c r="K652" s="76">
        <f t="shared" si="120"/>
        <v>3.18</v>
      </c>
      <c r="L652" s="76"/>
      <c r="M652" s="76"/>
      <c r="N652" s="76"/>
      <c r="O652" s="51"/>
      <c r="R652" s="53">
        <v>2.4900000000000002</v>
      </c>
    </row>
    <row r="653" spans="1:18" s="56" customFormat="1" ht="24" x14ac:dyDescent="0.2">
      <c r="A653" s="73" t="s">
        <v>308</v>
      </c>
      <c r="B653" s="80">
        <v>44688</v>
      </c>
      <c r="C653" s="74" t="s">
        <v>1078</v>
      </c>
      <c r="D653" s="73" t="s">
        <v>102</v>
      </c>
      <c r="E653" s="75">
        <v>1</v>
      </c>
      <c r="F653" s="75"/>
      <c r="G653" s="75"/>
      <c r="H653" s="75">
        <f t="shared" si="117"/>
        <v>2.46</v>
      </c>
      <c r="I653" s="75">
        <f t="shared" si="118"/>
        <v>3.14</v>
      </c>
      <c r="J653" s="76">
        <f t="shared" si="119"/>
        <v>2.46</v>
      </c>
      <c r="K653" s="76">
        <f t="shared" si="120"/>
        <v>3.14</v>
      </c>
      <c r="L653" s="76"/>
      <c r="M653" s="76"/>
      <c r="N653" s="76"/>
      <c r="O653" s="51"/>
      <c r="R653" s="53">
        <v>2.46</v>
      </c>
    </row>
    <row r="654" spans="1:18" s="56" customFormat="1" ht="12" x14ac:dyDescent="0.2">
      <c r="A654" s="73" t="s">
        <v>308</v>
      </c>
      <c r="B654" s="80">
        <v>44689</v>
      </c>
      <c r="C654" s="74" t="s">
        <v>1079</v>
      </c>
      <c r="D654" s="73" t="s">
        <v>102</v>
      </c>
      <c r="E654" s="75">
        <v>14</v>
      </c>
      <c r="F654" s="75"/>
      <c r="G654" s="75"/>
      <c r="H654" s="75">
        <f t="shared" si="117"/>
        <v>3.26</v>
      </c>
      <c r="I654" s="75">
        <f t="shared" si="118"/>
        <v>4.16</v>
      </c>
      <c r="J654" s="76">
        <f t="shared" si="119"/>
        <v>45.64</v>
      </c>
      <c r="K654" s="76">
        <f t="shared" si="120"/>
        <v>58.24</v>
      </c>
      <c r="L654" s="76"/>
      <c r="M654" s="76"/>
      <c r="N654" s="76"/>
      <c r="O654" s="51"/>
      <c r="R654" s="53">
        <v>3.26</v>
      </c>
    </row>
    <row r="655" spans="1:18" s="56" customFormat="1" ht="12" x14ac:dyDescent="0.2">
      <c r="A655" s="72"/>
      <c r="B655" s="70" t="s">
        <v>1080</v>
      </c>
      <c r="C655" s="71" t="s">
        <v>856</v>
      </c>
      <c r="D655" s="72"/>
      <c r="E655" s="72"/>
      <c r="F655" s="72"/>
      <c r="G655" s="72"/>
      <c r="H655" s="75"/>
      <c r="I655" s="72"/>
      <c r="J655" s="72"/>
      <c r="K655" s="72"/>
      <c r="L655" s="72"/>
      <c r="M655" s="72"/>
      <c r="N655" s="72"/>
      <c r="O655" s="52"/>
      <c r="R655" s="52"/>
    </row>
    <row r="656" spans="1:18" s="56" customFormat="1" ht="12" x14ac:dyDescent="0.2">
      <c r="A656" s="72"/>
      <c r="B656" s="69"/>
      <c r="C656" s="74" t="s">
        <v>1081</v>
      </c>
      <c r="D656" s="72"/>
      <c r="E656" s="72"/>
      <c r="F656" s="72"/>
      <c r="G656" s="72"/>
      <c r="H656" s="75"/>
      <c r="I656" s="72"/>
      <c r="J656" s="72"/>
      <c r="K656" s="72"/>
      <c r="L656" s="72"/>
      <c r="M656" s="72"/>
      <c r="N656" s="72"/>
      <c r="O656" s="52"/>
      <c r="R656" s="52"/>
    </row>
    <row r="657" spans="1:18" s="56" customFormat="1" ht="12" x14ac:dyDescent="0.2">
      <c r="A657" s="73" t="s">
        <v>308</v>
      </c>
      <c r="B657" s="80">
        <v>44713</v>
      </c>
      <c r="C657" s="74" t="s">
        <v>1082</v>
      </c>
      <c r="D657" s="73" t="s">
        <v>81</v>
      </c>
      <c r="E657" s="75">
        <v>1</v>
      </c>
      <c r="F657" s="75"/>
      <c r="G657" s="75"/>
      <c r="H657" s="75">
        <f>ROUND(R657*$R$12,2)</f>
        <v>9.9499999999999993</v>
      </c>
      <c r="I657" s="75">
        <f>ROUND(H657*(1+$S$1),2)</f>
        <v>12.7</v>
      </c>
      <c r="J657" s="76">
        <f>ROUND(E657*H657,2)</f>
        <v>9.9499999999999993</v>
      </c>
      <c r="K657" s="76">
        <f>ROUND(E657*I657,2)</f>
        <v>12.7</v>
      </c>
      <c r="L657" s="76"/>
      <c r="M657" s="76"/>
      <c r="N657" s="76"/>
      <c r="O657" s="51"/>
      <c r="R657" s="53">
        <v>9.9499999999999993</v>
      </c>
    </row>
    <row r="658" spans="1:18" s="56" customFormat="1" ht="12" x14ac:dyDescent="0.2">
      <c r="A658" s="73" t="s">
        <v>308</v>
      </c>
      <c r="B658" s="80">
        <v>44714</v>
      </c>
      <c r="C658" s="74" t="s">
        <v>1083</v>
      </c>
      <c r="D658" s="73" t="s">
        <v>81</v>
      </c>
      <c r="E658" s="75">
        <v>70</v>
      </c>
      <c r="F658" s="75"/>
      <c r="G658" s="75"/>
      <c r="H658" s="75">
        <f>ROUND(R658*$R$12,2)</f>
        <v>5.24</v>
      </c>
      <c r="I658" s="75">
        <f>ROUND(H658*(1+$S$1),2)</f>
        <v>6.69</v>
      </c>
      <c r="J658" s="76">
        <f>ROUND(E658*H658,2)</f>
        <v>366.8</v>
      </c>
      <c r="K658" s="76">
        <f>ROUND(E658*I658,2)</f>
        <v>468.3</v>
      </c>
      <c r="L658" s="76"/>
      <c r="M658" s="76"/>
      <c r="N658" s="76"/>
      <c r="O658" s="51"/>
      <c r="R658" s="53">
        <v>5.24</v>
      </c>
    </row>
    <row r="659" spans="1:18" s="56" customFormat="1" ht="12" x14ac:dyDescent="0.2">
      <c r="A659" s="72"/>
      <c r="B659" s="69"/>
      <c r="C659" s="74" t="s">
        <v>1084</v>
      </c>
      <c r="D659" s="72"/>
      <c r="E659" s="72"/>
      <c r="F659" s="72"/>
      <c r="G659" s="72"/>
      <c r="H659" s="75"/>
      <c r="I659" s="75"/>
      <c r="J659" s="75"/>
      <c r="K659" s="72"/>
      <c r="L659" s="72"/>
      <c r="M659" s="72"/>
      <c r="N659" s="72"/>
      <c r="O659" s="52"/>
      <c r="R659" s="52"/>
    </row>
    <row r="660" spans="1:18" s="56" customFormat="1" ht="12" x14ac:dyDescent="0.2">
      <c r="A660" s="73" t="s">
        <v>308</v>
      </c>
      <c r="B660" s="80">
        <v>44715</v>
      </c>
      <c r="C660" s="74" t="s">
        <v>1083</v>
      </c>
      <c r="D660" s="73" t="s">
        <v>81</v>
      </c>
      <c r="E660" s="75">
        <v>10</v>
      </c>
      <c r="F660" s="75"/>
      <c r="G660" s="75"/>
      <c r="H660" s="75">
        <f>ROUND(R660*$R$12,2)</f>
        <v>12.83</v>
      </c>
      <c r="I660" s="75">
        <f>ROUND(H660*(1+$S$1),2)</f>
        <v>16.37</v>
      </c>
      <c r="J660" s="76">
        <f>ROUND(E660*H660,2)</f>
        <v>128.30000000000001</v>
      </c>
      <c r="K660" s="76">
        <f>ROUND(E660*I660,2)</f>
        <v>163.69999999999999</v>
      </c>
      <c r="L660" s="76"/>
      <c r="M660" s="76"/>
      <c r="N660" s="76"/>
      <c r="O660" s="51"/>
      <c r="R660" s="53">
        <v>12.83</v>
      </c>
    </row>
    <row r="661" spans="1:18" s="56" customFormat="1" ht="24" x14ac:dyDescent="0.2">
      <c r="A661" s="72"/>
      <c r="B661" s="69"/>
      <c r="C661" s="74" t="s">
        <v>1085</v>
      </c>
      <c r="D661" s="72"/>
      <c r="E661" s="72"/>
      <c r="F661" s="72"/>
      <c r="G661" s="72"/>
      <c r="H661" s="75"/>
      <c r="I661" s="75"/>
      <c r="J661" s="75"/>
      <c r="K661" s="72"/>
      <c r="L661" s="72"/>
      <c r="M661" s="72"/>
      <c r="N661" s="72"/>
      <c r="O661" s="52"/>
      <c r="R661" s="52"/>
    </row>
    <row r="662" spans="1:18" s="56" customFormat="1" ht="12" x14ac:dyDescent="0.2">
      <c r="A662" s="73" t="s">
        <v>308</v>
      </c>
      <c r="B662" s="80">
        <v>44716</v>
      </c>
      <c r="C662" s="74" t="s">
        <v>1083</v>
      </c>
      <c r="D662" s="73" t="s">
        <v>81</v>
      </c>
      <c r="E662" s="75">
        <v>45</v>
      </c>
      <c r="F662" s="75"/>
      <c r="G662" s="75"/>
      <c r="H662" s="75">
        <f>ROUND(R662*$R$12,2)</f>
        <v>12.83</v>
      </c>
      <c r="I662" s="75">
        <f>ROUND(H662*(1+$S$1),2)</f>
        <v>16.37</v>
      </c>
      <c r="J662" s="76">
        <f>ROUND(E662*H662,2)</f>
        <v>577.35</v>
      </c>
      <c r="K662" s="76">
        <f>ROUND(E662*I662,2)</f>
        <v>736.65</v>
      </c>
      <c r="L662" s="76"/>
      <c r="M662" s="76"/>
      <c r="N662" s="76"/>
      <c r="O662" s="51"/>
      <c r="R662" s="53">
        <v>12.83</v>
      </c>
    </row>
    <row r="663" spans="1:18" s="56" customFormat="1" ht="12" x14ac:dyDescent="0.2">
      <c r="A663" s="72"/>
      <c r="B663" s="69"/>
      <c r="C663" s="74" t="s">
        <v>1086</v>
      </c>
      <c r="D663" s="72"/>
      <c r="E663" s="72"/>
      <c r="F663" s="72"/>
      <c r="G663" s="72"/>
      <c r="H663" s="75"/>
      <c r="I663" s="75"/>
      <c r="J663" s="75"/>
      <c r="K663" s="72"/>
      <c r="L663" s="72"/>
      <c r="M663" s="72"/>
      <c r="N663" s="72"/>
      <c r="O663" s="52"/>
      <c r="R663" s="52"/>
    </row>
    <row r="664" spans="1:18" s="56" customFormat="1" ht="12" x14ac:dyDescent="0.2">
      <c r="A664" s="73" t="s">
        <v>308</v>
      </c>
      <c r="B664" s="80">
        <v>44717</v>
      </c>
      <c r="C664" s="74" t="s">
        <v>1087</v>
      </c>
      <c r="D664" s="73" t="s">
        <v>81</v>
      </c>
      <c r="E664" s="75">
        <v>10</v>
      </c>
      <c r="F664" s="75"/>
      <c r="G664" s="75"/>
      <c r="H664" s="75">
        <f>ROUND(R664*$R$12,2)</f>
        <v>6.65</v>
      </c>
      <c r="I664" s="75">
        <f>ROUND(H664*(1+$S$1),2)</f>
        <v>8.48</v>
      </c>
      <c r="J664" s="76">
        <f>ROUND(E664*H664,2)</f>
        <v>66.5</v>
      </c>
      <c r="K664" s="76">
        <f>ROUND(E664*I664,2)</f>
        <v>84.8</v>
      </c>
      <c r="L664" s="76"/>
      <c r="M664" s="76"/>
      <c r="N664" s="76"/>
      <c r="O664" s="51"/>
      <c r="R664" s="53">
        <v>6.65</v>
      </c>
    </row>
    <row r="665" spans="1:18" s="56" customFormat="1" ht="24" x14ac:dyDescent="0.2">
      <c r="A665" s="72"/>
      <c r="B665" s="69"/>
      <c r="C665" s="74" t="s">
        <v>1088</v>
      </c>
      <c r="D665" s="72"/>
      <c r="E665" s="72"/>
      <c r="F665" s="72"/>
      <c r="G665" s="72"/>
      <c r="H665" s="75"/>
      <c r="I665" s="75"/>
      <c r="J665" s="75"/>
      <c r="K665" s="72"/>
      <c r="L665" s="72"/>
      <c r="M665" s="72"/>
      <c r="N665" s="72"/>
      <c r="O665" s="52"/>
      <c r="R665" s="52"/>
    </row>
    <row r="666" spans="1:18" s="56" customFormat="1" ht="12" x14ac:dyDescent="0.2">
      <c r="A666" s="73" t="s">
        <v>308</v>
      </c>
      <c r="B666" s="80">
        <v>44718</v>
      </c>
      <c r="C666" s="74" t="s">
        <v>1083</v>
      </c>
      <c r="D666" s="73" t="s">
        <v>102</v>
      </c>
      <c r="E666" s="75">
        <v>75</v>
      </c>
      <c r="F666" s="75"/>
      <c r="G666" s="75"/>
      <c r="H666" s="75">
        <f t="shared" ref="H666:H671" si="121">ROUND(R666*$R$12,2)</f>
        <v>0.7</v>
      </c>
      <c r="I666" s="75">
        <f t="shared" ref="I666:I671" si="122">ROUND(H666*(1+$S$1),2)</f>
        <v>0.89</v>
      </c>
      <c r="J666" s="76">
        <f t="shared" ref="J666:J671" si="123">ROUND(E666*H666,2)</f>
        <v>52.5</v>
      </c>
      <c r="K666" s="76">
        <f t="shared" ref="K666:K671" si="124">ROUND(E666*I666,2)</f>
        <v>66.75</v>
      </c>
      <c r="L666" s="76"/>
      <c r="M666" s="76"/>
      <c r="N666" s="76"/>
      <c r="O666" s="51"/>
      <c r="R666" s="53">
        <v>0.7</v>
      </c>
    </row>
    <row r="667" spans="1:18" s="56" customFormat="1" ht="12" x14ac:dyDescent="0.2">
      <c r="A667" s="73" t="s">
        <v>308</v>
      </c>
      <c r="B667" s="80">
        <v>44719</v>
      </c>
      <c r="C667" s="74" t="s">
        <v>1089</v>
      </c>
      <c r="D667" s="73" t="s">
        <v>102</v>
      </c>
      <c r="E667" s="75">
        <v>75</v>
      </c>
      <c r="F667" s="75"/>
      <c r="G667" s="75"/>
      <c r="H667" s="75">
        <f t="shared" si="121"/>
        <v>6.95</v>
      </c>
      <c r="I667" s="75">
        <f t="shared" si="122"/>
        <v>8.8699999999999992</v>
      </c>
      <c r="J667" s="76">
        <f t="shared" si="123"/>
        <v>521.25</v>
      </c>
      <c r="K667" s="76">
        <f t="shared" si="124"/>
        <v>665.25</v>
      </c>
      <c r="L667" s="76"/>
      <c r="M667" s="76"/>
      <c r="N667" s="76"/>
      <c r="O667" s="51"/>
      <c r="R667" s="53">
        <v>6.95</v>
      </c>
    </row>
    <row r="668" spans="1:18" s="56" customFormat="1" ht="12" x14ac:dyDescent="0.2">
      <c r="A668" s="94">
        <v>4376</v>
      </c>
      <c r="B668" s="80">
        <v>44720</v>
      </c>
      <c r="C668" s="74" t="s">
        <v>1090</v>
      </c>
      <c r="D668" s="73" t="s">
        <v>102</v>
      </c>
      <c r="E668" s="75">
        <v>75</v>
      </c>
      <c r="F668" s="75"/>
      <c r="G668" s="75"/>
      <c r="H668" s="75">
        <f t="shared" si="121"/>
        <v>0.13</v>
      </c>
      <c r="I668" s="75">
        <f t="shared" si="122"/>
        <v>0.17</v>
      </c>
      <c r="J668" s="76">
        <f t="shared" si="123"/>
        <v>9.75</v>
      </c>
      <c r="K668" s="76">
        <f t="shared" si="124"/>
        <v>12.75</v>
      </c>
      <c r="L668" s="76"/>
      <c r="M668" s="76"/>
      <c r="N668" s="76"/>
      <c r="O668" s="51"/>
      <c r="R668" s="53">
        <v>0.13</v>
      </c>
    </row>
    <row r="669" spans="1:18" s="56" customFormat="1" ht="24" x14ac:dyDescent="0.2">
      <c r="A669" s="73" t="s">
        <v>308</v>
      </c>
      <c r="B669" s="80">
        <v>44721</v>
      </c>
      <c r="C669" s="74" t="s">
        <v>1091</v>
      </c>
      <c r="D669" s="73" t="s">
        <v>102</v>
      </c>
      <c r="E669" s="75">
        <v>75</v>
      </c>
      <c r="F669" s="75"/>
      <c r="G669" s="75"/>
      <c r="H669" s="75">
        <f t="shared" si="121"/>
        <v>0.32</v>
      </c>
      <c r="I669" s="75">
        <f t="shared" si="122"/>
        <v>0.41</v>
      </c>
      <c r="J669" s="76">
        <f t="shared" si="123"/>
        <v>24</v>
      </c>
      <c r="K669" s="76">
        <f t="shared" si="124"/>
        <v>30.75</v>
      </c>
      <c r="L669" s="76"/>
      <c r="M669" s="76"/>
      <c r="N669" s="76"/>
      <c r="O669" s="51"/>
      <c r="R669" s="53">
        <v>0.32</v>
      </c>
    </row>
    <row r="670" spans="1:18" s="56" customFormat="1" ht="12" x14ac:dyDescent="0.2">
      <c r="A670" s="73" t="s">
        <v>308</v>
      </c>
      <c r="B670" s="87">
        <v>40351</v>
      </c>
      <c r="C670" s="74" t="s">
        <v>1092</v>
      </c>
      <c r="D670" s="73" t="s">
        <v>102</v>
      </c>
      <c r="E670" s="75">
        <v>75</v>
      </c>
      <c r="F670" s="75"/>
      <c r="G670" s="75"/>
      <c r="H670" s="75">
        <f t="shared" si="121"/>
        <v>0.12</v>
      </c>
      <c r="I670" s="75">
        <f t="shared" si="122"/>
        <v>0.15</v>
      </c>
      <c r="J670" s="76">
        <f t="shared" si="123"/>
        <v>9</v>
      </c>
      <c r="K670" s="76">
        <f t="shared" si="124"/>
        <v>11.25</v>
      </c>
      <c r="L670" s="76"/>
      <c r="M670" s="76"/>
      <c r="N670" s="76"/>
      <c r="O670" s="51"/>
      <c r="R670" s="53">
        <v>0.12</v>
      </c>
    </row>
    <row r="671" spans="1:18" s="56" customFormat="1" ht="12" x14ac:dyDescent="0.2">
      <c r="A671" s="73" t="s">
        <v>308</v>
      </c>
      <c r="B671" s="87">
        <v>40716</v>
      </c>
      <c r="C671" s="74" t="s">
        <v>1093</v>
      </c>
      <c r="D671" s="73" t="s">
        <v>102</v>
      </c>
      <c r="E671" s="75">
        <v>100</v>
      </c>
      <c r="F671" s="75"/>
      <c r="G671" s="75"/>
      <c r="H671" s="75">
        <f t="shared" si="121"/>
        <v>0.09</v>
      </c>
      <c r="I671" s="75">
        <f t="shared" si="122"/>
        <v>0.11</v>
      </c>
      <c r="J671" s="76">
        <f t="shared" si="123"/>
        <v>9</v>
      </c>
      <c r="K671" s="76">
        <f t="shared" si="124"/>
        <v>11</v>
      </c>
      <c r="L671" s="76"/>
      <c r="M671" s="76"/>
      <c r="N671" s="76"/>
      <c r="O671" s="51"/>
      <c r="R671" s="53">
        <v>0.09</v>
      </c>
    </row>
    <row r="672" spans="1:18" s="56" customFormat="1" ht="12" x14ac:dyDescent="0.2">
      <c r="A672" s="72"/>
      <c r="B672" s="70" t="s">
        <v>1094</v>
      </c>
      <c r="C672" s="71" t="s">
        <v>1095</v>
      </c>
      <c r="D672" s="71"/>
      <c r="E672" s="71"/>
      <c r="F672" s="71"/>
      <c r="G672" s="71"/>
      <c r="H672" s="75"/>
      <c r="I672" s="71"/>
      <c r="J672" s="71"/>
      <c r="K672" s="72"/>
      <c r="L672" s="72"/>
      <c r="M672" s="72"/>
      <c r="N672" s="72"/>
      <c r="O672" s="52"/>
      <c r="R672" s="59"/>
    </row>
    <row r="673" spans="1:18" s="56" customFormat="1" ht="24" x14ac:dyDescent="0.2">
      <c r="A673" s="73" t="s">
        <v>78</v>
      </c>
      <c r="B673" s="80">
        <v>44743</v>
      </c>
      <c r="C673" s="74" t="s">
        <v>1096</v>
      </c>
      <c r="D673" s="73" t="s">
        <v>102</v>
      </c>
      <c r="E673" s="75">
        <v>12</v>
      </c>
      <c r="F673" s="75"/>
      <c r="G673" s="75"/>
      <c r="H673" s="75">
        <f t="shared" ref="H673:H687" si="125">ROUND(R673*$R$12,2)</f>
        <v>79.47</v>
      </c>
      <c r="I673" s="75">
        <f t="shared" ref="I673:I687" si="126">ROUND(H673*(1+$S$1),2)</f>
        <v>101.4</v>
      </c>
      <c r="J673" s="76">
        <f t="shared" ref="J673:J687" si="127">ROUND(E673*H673,2)</f>
        <v>953.64</v>
      </c>
      <c r="K673" s="76">
        <f t="shared" ref="K673:K687" si="128">ROUND(E673*I673,2)</f>
        <v>1216.8</v>
      </c>
      <c r="L673" s="76"/>
      <c r="M673" s="76"/>
      <c r="N673" s="76"/>
      <c r="O673" s="51"/>
      <c r="R673" s="53">
        <v>79.47</v>
      </c>
    </row>
    <row r="674" spans="1:18" s="56" customFormat="1" ht="12" x14ac:dyDescent="0.2">
      <c r="A674" s="73" t="s">
        <v>308</v>
      </c>
      <c r="B674" s="80">
        <v>44744</v>
      </c>
      <c r="C674" s="74" t="s">
        <v>1097</v>
      </c>
      <c r="D674" s="73" t="s">
        <v>102</v>
      </c>
      <c r="E674" s="75">
        <v>6</v>
      </c>
      <c r="F674" s="75"/>
      <c r="G674" s="75"/>
      <c r="H674" s="75">
        <f t="shared" si="125"/>
        <v>20.45</v>
      </c>
      <c r="I674" s="75">
        <f t="shared" si="126"/>
        <v>26.09</v>
      </c>
      <c r="J674" s="76">
        <f t="shared" si="127"/>
        <v>122.7</v>
      </c>
      <c r="K674" s="76">
        <f t="shared" si="128"/>
        <v>156.54</v>
      </c>
      <c r="L674" s="76"/>
      <c r="M674" s="76"/>
      <c r="N674" s="76"/>
      <c r="O674" s="51"/>
      <c r="R674" s="53">
        <v>20.45</v>
      </c>
    </row>
    <row r="675" spans="1:18" s="56" customFormat="1" ht="12" x14ac:dyDescent="0.2">
      <c r="A675" s="73" t="s">
        <v>308</v>
      </c>
      <c r="B675" s="80">
        <v>44745</v>
      </c>
      <c r="C675" s="74" t="s">
        <v>1098</v>
      </c>
      <c r="D675" s="73" t="s">
        <v>102</v>
      </c>
      <c r="E675" s="75">
        <v>1</v>
      </c>
      <c r="F675" s="75"/>
      <c r="G675" s="75"/>
      <c r="H675" s="75">
        <f t="shared" si="125"/>
        <v>33.450000000000003</v>
      </c>
      <c r="I675" s="75">
        <f t="shared" si="126"/>
        <v>42.68</v>
      </c>
      <c r="J675" s="76">
        <f t="shared" si="127"/>
        <v>33.450000000000003</v>
      </c>
      <c r="K675" s="76">
        <f t="shared" si="128"/>
        <v>42.68</v>
      </c>
      <c r="L675" s="76"/>
      <c r="M675" s="76"/>
      <c r="N675" s="76"/>
      <c r="O675" s="51"/>
      <c r="R675" s="53">
        <v>33.450000000000003</v>
      </c>
    </row>
    <row r="676" spans="1:18" s="56" customFormat="1" ht="12" x14ac:dyDescent="0.2">
      <c r="A676" s="73" t="s">
        <v>308</v>
      </c>
      <c r="B676" s="80">
        <v>44746</v>
      </c>
      <c r="C676" s="74" t="s">
        <v>1099</v>
      </c>
      <c r="D676" s="73" t="s">
        <v>102</v>
      </c>
      <c r="E676" s="75">
        <v>2</v>
      </c>
      <c r="F676" s="75"/>
      <c r="G676" s="75"/>
      <c r="H676" s="75">
        <f t="shared" si="125"/>
        <v>23.95</v>
      </c>
      <c r="I676" s="75">
        <f t="shared" si="126"/>
        <v>30.56</v>
      </c>
      <c r="J676" s="76">
        <f t="shared" si="127"/>
        <v>47.9</v>
      </c>
      <c r="K676" s="76">
        <f t="shared" si="128"/>
        <v>61.12</v>
      </c>
      <c r="L676" s="76"/>
      <c r="M676" s="76"/>
      <c r="N676" s="76"/>
      <c r="O676" s="51"/>
      <c r="R676" s="53">
        <v>23.95</v>
      </c>
    </row>
    <row r="677" spans="1:18" s="56" customFormat="1" ht="12" x14ac:dyDescent="0.2">
      <c r="A677" s="73" t="s">
        <v>308</v>
      </c>
      <c r="B677" s="80">
        <v>44747</v>
      </c>
      <c r="C677" s="74" t="s">
        <v>1100</v>
      </c>
      <c r="D677" s="73" t="s">
        <v>102</v>
      </c>
      <c r="E677" s="75">
        <v>15</v>
      </c>
      <c r="F677" s="75"/>
      <c r="G677" s="75"/>
      <c r="H677" s="75">
        <f t="shared" si="125"/>
        <v>8.93</v>
      </c>
      <c r="I677" s="75">
        <f t="shared" si="126"/>
        <v>11.39</v>
      </c>
      <c r="J677" s="76">
        <f t="shared" si="127"/>
        <v>133.94999999999999</v>
      </c>
      <c r="K677" s="76">
        <f t="shared" si="128"/>
        <v>170.85</v>
      </c>
      <c r="L677" s="76"/>
      <c r="M677" s="76"/>
      <c r="N677" s="76"/>
      <c r="O677" s="51"/>
      <c r="R677" s="53">
        <v>8.93</v>
      </c>
    </row>
    <row r="678" spans="1:18" s="56" customFormat="1" ht="12" x14ac:dyDescent="0.2">
      <c r="A678" s="73" t="s">
        <v>308</v>
      </c>
      <c r="B678" s="80">
        <v>44748</v>
      </c>
      <c r="C678" s="74" t="s">
        <v>1101</v>
      </c>
      <c r="D678" s="73" t="s">
        <v>102</v>
      </c>
      <c r="E678" s="75">
        <v>4</v>
      </c>
      <c r="F678" s="75"/>
      <c r="G678" s="75"/>
      <c r="H678" s="75">
        <f t="shared" si="125"/>
        <v>8.1300000000000008</v>
      </c>
      <c r="I678" s="75">
        <f t="shared" si="126"/>
        <v>10.37</v>
      </c>
      <c r="J678" s="76">
        <f t="shared" si="127"/>
        <v>32.520000000000003</v>
      </c>
      <c r="K678" s="76">
        <f t="shared" si="128"/>
        <v>41.48</v>
      </c>
      <c r="L678" s="76"/>
      <c r="M678" s="76"/>
      <c r="N678" s="76"/>
      <c r="O678" s="51"/>
      <c r="R678" s="53">
        <v>8.1300000000000008</v>
      </c>
    </row>
    <row r="679" spans="1:18" s="56" customFormat="1" ht="12" x14ac:dyDescent="0.2">
      <c r="A679" s="94">
        <v>89563</v>
      </c>
      <c r="B679" s="80">
        <v>44749</v>
      </c>
      <c r="C679" s="74" t="s">
        <v>1102</v>
      </c>
      <c r="D679" s="73" t="s">
        <v>102</v>
      </c>
      <c r="E679" s="75">
        <v>40</v>
      </c>
      <c r="F679" s="75"/>
      <c r="G679" s="75"/>
      <c r="H679" s="75">
        <f t="shared" si="125"/>
        <v>14.21</v>
      </c>
      <c r="I679" s="75">
        <f t="shared" si="126"/>
        <v>18.13</v>
      </c>
      <c r="J679" s="76">
        <f t="shared" si="127"/>
        <v>568.4</v>
      </c>
      <c r="K679" s="76">
        <f t="shared" si="128"/>
        <v>725.2</v>
      </c>
      <c r="L679" s="76"/>
      <c r="M679" s="76"/>
      <c r="N679" s="76"/>
      <c r="O679" s="51"/>
      <c r="R679" s="53">
        <v>14.21</v>
      </c>
    </row>
    <row r="680" spans="1:18" s="56" customFormat="1" ht="12" x14ac:dyDescent="0.2">
      <c r="A680" s="73" t="s">
        <v>308</v>
      </c>
      <c r="B680" s="80">
        <v>44750</v>
      </c>
      <c r="C680" s="74" t="s">
        <v>1103</v>
      </c>
      <c r="D680" s="73" t="s">
        <v>102</v>
      </c>
      <c r="E680" s="75">
        <v>20</v>
      </c>
      <c r="F680" s="75"/>
      <c r="G680" s="75"/>
      <c r="H680" s="75">
        <f t="shared" si="125"/>
        <v>33.74</v>
      </c>
      <c r="I680" s="75">
        <f t="shared" si="126"/>
        <v>43.05</v>
      </c>
      <c r="J680" s="76">
        <f t="shared" si="127"/>
        <v>674.8</v>
      </c>
      <c r="K680" s="76">
        <f t="shared" si="128"/>
        <v>861</v>
      </c>
      <c r="L680" s="76"/>
      <c r="M680" s="76"/>
      <c r="N680" s="76"/>
      <c r="O680" s="51"/>
      <c r="R680" s="53">
        <v>33.74</v>
      </c>
    </row>
    <row r="681" spans="1:18" s="56" customFormat="1" ht="12" x14ac:dyDescent="0.2">
      <c r="A681" s="73" t="s">
        <v>308</v>
      </c>
      <c r="B681" s="80">
        <v>44751</v>
      </c>
      <c r="C681" s="74" t="s">
        <v>1104</v>
      </c>
      <c r="D681" s="73" t="s">
        <v>102</v>
      </c>
      <c r="E681" s="75">
        <v>25</v>
      </c>
      <c r="F681" s="75"/>
      <c r="G681" s="75"/>
      <c r="H681" s="75">
        <f t="shared" si="125"/>
        <v>0.17</v>
      </c>
      <c r="I681" s="75">
        <f t="shared" si="126"/>
        <v>0.22</v>
      </c>
      <c r="J681" s="76">
        <f t="shared" si="127"/>
        <v>4.25</v>
      </c>
      <c r="K681" s="76">
        <f t="shared" si="128"/>
        <v>5.5</v>
      </c>
      <c r="L681" s="76"/>
      <c r="M681" s="76"/>
      <c r="N681" s="76"/>
      <c r="O681" s="51"/>
      <c r="R681" s="53">
        <v>0.17</v>
      </c>
    </row>
    <row r="682" spans="1:18" s="56" customFormat="1" ht="12" x14ac:dyDescent="0.2">
      <c r="A682" s="73" t="s">
        <v>308</v>
      </c>
      <c r="B682" s="87">
        <v>40381</v>
      </c>
      <c r="C682" s="74" t="s">
        <v>1105</v>
      </c>
      <c r="D682" s="73" t="s">
        <v>102</v>
      </c>
      <c r="E682" s="75">
        <v>160</v>
      </c>
      <c r="F682" s="75"/>
      <c r="G682" s="75"/>
      <c r="H682" s="75">
        <f t="shared" si="125"/>
        <v>0.19</v>
      </c>
      <c r="I682" s="75">
        <f t="shared" si="126"/>
        <v>0.24</v>
      </c>
      <c r="J682" s="76">
        <f t="shared" si="127"/>
        <v>30.4</v>
      </c>
      <c r="K682" s="76">
        <f t="shared" si="128"/>
        <v>38.4</v>
      </c>
      <c r="L682" s="76"/>
      <c r="M682" s="76"/>
      <c r="N682" s="76"/>
      <c r="O682" s="51"/>
      <c r="R682" s="53">
        <v>0.19</v>
      </c>
    </row>
    <row r="683" spans="1:18" s="56" customFormat="1" ht="12" x14ac:dyDescent="0.2">
      <c r="A683" s="73" t="s">
        <v>308</v>
      </c>
      <c r="B683" s="87">
        <v>40746</v>
      </c>
      <c r="C683" s="74" t="s">
        <v>1106</v>
      </c>
      <c r="D683" s="73" t="s">
        <v>102</v>
      </c>
      <c r="E683" s="75">
        <v>3</v>
      </c>
      <c r="F683" s="75"/>
      <c r="G683" s="75"/>
      <c r="H683" s="75">
        <f t="shared" si="125"/>
        <v>1.69</v>
      </c>
      <c r="I683" s="75">
        <f t="shared" si="126"/>
        <v>2.16</v>
      </c>
      <c r="J683" s="76">
        <f t="shared" si="127"/>
        <v>5.07</v>
      </c>
      <c r="K683" s="76">
        <f t="shared" si="128"/>
        <v>6.48</v>
      </c>
      <c r="L683" s="76"/>
      <c r="M683" s="76"/>
      <c r="N683" s="76"/>
      <c r="O683" s="51"/>
      <c r="R683" s="53">
        <v>1.69</v>
      </c>
    </row>
    <row r="684" spans="1:18" s="56" customFormat="1" ht="12" x14ac:dyDescent="0.2">
      <c r="A684" s="73" t="s">
        <v>308</v>
      </c>
      <c r="B684" s="87">
        <v>41112</v>
      </c>
      <c r="C684" s="74" t="s">
        <v>1107</v>
      </c>
      <c r="D684" s="73" t="s">
        <v>102</v>
      </c>
      <c r="E684" s="75">
        <v>25</v>
      </c>
      <c r="F684" s="75"/>
      <c r="G684" s="75"/>
      <c r="H684" s="75">
        <f t="shared" si="125"/>
        <v>1.54</v>
      </c>
      <c r="I684" s="75">
        <f t="shared" si="126"/>
        <v>1.96</v>
      </c>
      <c r="J684" s="76">
        <f t="shared" si="127"/>
        <v>38.5</v>
      </c>
      <c r="K684" s="76">
        <f t="shared" si="128"/>
        <v>49</v>
      </c>
      <c r="L684" s="76"/>
      <c r="M684" s="76"/>
      <c r="N684" s="76"/>
      <c r="O684" s="51"/>
      <c r="R684" s="53">
        <v>1.54</v>
      </c>
    </row>
    <row r="685" spans="1:18" s="56" customFormat="1" ht="24" x14ac:dyDescent="0.2">
      <c r="A685" s="73" t="s">
        <v>308</v>
      </c>
      <c r="B685" s="87">
        <v>41477</v>
      </c>
      <c r="C685" s="74" t="s">
        <v>1108</v>
      </c>
      <c r="D685" s="73" t="s">
        <v>102</v>
      </c>
      <c r="E685" s="75">
        <v>3</v>
      </c>
      <c r="F685" s="75"/>
      <c r="G685" s="75"/>
      <c r="H685" s="75">
        <f t="shared" si="125"/>
        <v>12.98</v>
      </c>
      <c r="I685" s="75">
        <f t="shared" si="126"/>
        <v>16.559999999999999</v>
      </c>
      <c r="J685" s="76">
        <f t="shared" si="127"/>
        <v>38.94</v>
      </c>
      <c r="K685" s="76">
        <f t="shared" si="128"/>
        <v>49.68</v>
      </c>
      <c r="L685" s="76"/>
      <c r="M685" s="76"/>
      <c r="N685" s="76"/>
      <c r="O685" s="51"/>
      <c r="R685" s="53">
        <v>12.98</v>
      </c>
    </row>
    <row r="686" spans="1:18" s="56" customFormat="1" ht="12" x14ac:dyDescent="0.2">
      <c r="A686" s="73" t="s">
        <v>308</v>
      </c>
      <c r="B686" s="87">
        <v>41842</v>
      </c>
      <c r="C686" s="74" t="s">
        <v>1109</v>
      </c>
      <c r="D686" s="73" t="s">
        <v>102</v>
      </c>
      <c r="E686" s="75">
        <v>300</v>
      </c>
      <c r="F686" s="75"/>
      <c r="G686" s="75"/>
      <c r="H686" s="75">
        <f t="shared" si="125"/>
        <v>0.09</v>
      </c>
      <c r="I686" s="75">
        <f t="shared" si="126"/>
        <v>0.11</v>
      </c>
      <c r="J686" s="76">
        <f t="shared" si="127"/>
        <v>27</v>
      </c>
      <c r="K686" s="76">
        <f t="shared" si="128"/>
        <v>33</v>
      </c>
      <c r="L686" s="76"/>
      <c r="M686" s="76"/>
      <c r="N686" s="76"/>
      <c r="O686" s="51"/>
      <c r="R686" s="53">
        <v>0.09</v>
      </c>
    </row>
    <row r="687" spans="1:18" s="56" customFormat="1" ht="12" x14ac:dyDescent="0.2">
      <c r="A687" s="73" t="s">
        <v>308</v>
      </c>
      <c r="B687" s="87">
        <v>42207</v>
      </c>
      <c r="C687" s="74" t="s">
        <v>1110</v>
      </c>
      <c r="D687" s="73" t="s">
        <v>102</v>
      </c>
      <c r="E687" s="75">
        <v>15</v>
      </c>
      <c r="F687" s="75"/>
      <c r="G687" s="75"/>
      <c r="H687" s="75">
        <f t="shared" si="125"/>
        <v>12.18</v>
      </c>
      <c r="I687" s="75">
        <f t="shared" si="126"/>
        <v>15.54</v>
      </c>
      <c r="J687" s="76">
        <f t="shared" si="127"/>
        <v>182.7</v>
      </c>
      <c r="K687" s="76">
        <f t="shared" si="128"/>
        <v>233.1</v>
      </c>
      <c r="L687" s="76"/>
      <c r="M687" s="76"/>
      <c r="N687" s="76"/>
      <c r="O687" s="51"/>
      <c r="R687" s="53">
        <v>12.18</v>
      </c>
    </row>
    <row r="688" spans="1:18" s="56" customFormat="1" ht="12" x14ac:dyDescent="0.2">
      <c r="A688" s="72"/>
      <c r="B688" s="73" t="s">
        <v>1111</v>
      </c>
      <c r="C688" s="71" t="s">
        <v>1112</v>
      </c>
      <c r="D688" s="72"/>
      <c r="E688" s="72"/>
      <c r="F688" s="72"/>
      <c r="G688" s="72"/>
      <c r="H688" s="75"/>
      <c r="I688" s="72"/>
      <c r="J688" s="72"/>
      <c r="K688" s="72"/>
      <c r="L688" s="72"/>
      <c r="M688" s="72"/>
      <c r="N688" s="72"/>
      <c r="O688" s="52"/>
      <c r="R688" s="52"/>
    </row>
    <row r="689" spans="1:18" s="56" customFormat="1" ht="12" x14ac:dyDescent="0.2">
      <c r="A689" s="73" t="s">
        <v>308</v>
      </c>
      <c r="B689" s="80">
        <v>44774</v>
      </c>
      <c r="C689" s="74" t="s">
        <v>1113</v>
      </c>
      <c r="D689" s="73" t="s">
        <v>102</v>
      </c>
      <c r="E689" s="75">
        <v>10</v>
      </c>
      <c r="F689" s="75"/>
      <c r="G689" s="75"/>
      <c r="H689" s="75">
        <f t="shared" ref="H689:H695" si="129">ROUND(R689*$R$12,2)</f>
        <v>26.9</v>
      </c>
      <c r="I689" s="75">
        <f t="shared" ref="I689:I695" si="130">ROUND(H689*(1+$S$1),2)</f>
        <v>34.32</v>
      </c>
      <c r="J689" s="76">
        <f t="shared" ref="J689:J695" si="131">ROUND(E689*H689,2)</f>
        <v>269</v>
      </c>
      <c r="K689" s="76">
        <f t="shared" ref="K689:K695" si="132">ROUND(E689*I689,2)</f>
        <v>343.2</v>
      </c>
      <c r="L689" s="76"/>
      <c r="M689" s="76"/>
      <c r="N689" s="76"/>
      <c r="O689" s="51"/>
      <c r="R689" s="53">
        <v>26.9</v>
      </c>
    </row>
    <row r="690" spans="1:18" s="56" customFormat="1" ht="12" x14ac:dyDescent="0.2">
      <c r="A690" s="73" t="s">
        <v>308</v>
      </c>
      <c r="B690" s="80">
        <v>44775</v>
      </c>
      <c r="C690" s="74" t="s">
        <v>1114</v>
      </c>
      <c r="D690" s="73" t="s">
        <v>102</v>
      </c>
      <c r="E690" s="75">
        <v>10</v>
      </c>
      <c r="F690" s="75"/>
      <c r="G690" s="75"/>
      <c r="H690" s="75">
        <f t="shared" si="129"/>
        <v>15.67</v>
      </c>
      <c r="I690" s="75">
        <f t="shared" si="130"/>
        <v>19.989999999999998</v>
      </c>
      <c r="J690" s="76">
        <f t="shared" si="131"/>
        <v>156.69999999999999</v>
      </c>
      <c r="K690" s="76">
        <f t="shared" si="132"/>
        <v>199.9</v>
      </c>
      <c r="L690" s="76"/>
      <c r="M690" s="76"/>
      <c r="N690" s="76"/>
      <c r="O690" s="51"/>
      <c r="R690" s="53">
        <v>15.67</v>
      </c>
    </row>
    <row r="691" spans="1:18" s="56" customFormat="1" ht="12" x14ac:dyDescent="0.2">
      <c r="A691" s="73" t="s">
        <v>308</v>
      </c>
      <c r="B691" s="80">
        <v>44776</v>
      </c>
      <c r="C691" s="74" t="s">
        <v>1115</v>
      </c>
      <c r="D691" s="73" t="s">
        <v>102</v>
      </c>
      <c r="E691" s="75">
        <v>20</v>
      </c>
      <c r="F691" s="75"/>
      <c r="G691" s="75"/>
      <c r="H691" s="75">
        <f t="shared" si="129"/>
        <v>5.57</v>
      </c>
      <c r="I691" s="75">
        <f t="shared" si="130"/>
        <v>7.11</v>
      </c>
      <c r="J691" s="76">
        <f t="shared" si="131"/>
        <v>111.4</v>
      </c>
      <c r="K691" s="76">
        <f t="shared" si="132"/>
        <v>142.19999999999999</v>
      </c>
      <c r="L691" s="76"/>
      <c r="M691" s="76"/>
      <c r="N691" s="76"/>
      <c r="O691" s="51"/>
      <c r="R691" s="53">
        <v>5.57</v>
      </c>
    </row>
    <row r="692" spans="1:18" s="56" customFormat="1" ht="12" x14ac:dyDescent="0.2">
      <c r="A692" s="73" t="s">
        <v>308</v>
      </c>
      <c r="B692" s="80">
        <v>44777</v>
      </c>
      <c r="C692" s="74" t="s">
        <v>1116</v>
      </c>
      <c r="D692" s="73" t="s">
        <v>102</v>
      </c>
      <c r="E692" s="75">
        <v>2</v>
      </c>
      <c r="F692" s="75"/>
      <c r="G692" s="75"/>
      <c r="H692" s="75">
        <f t="shared" si="129"/>
        <v>7.1</v>
      </c>
      <c r="I692" s="75">
        <f t="shared" si="130"/>
        <v>9.06</v>
      </c>
      <c r="J692" s="76">
        <f t="shared" si="131"/>
        <v>14.2</v>
      </c>
      <c r="K692" s="76">
        <f t="shared" si="132"/>
        <v>18.12</v>
      </c>
      <c r="L692" s="76"/>
      <c r="M692" s="76"/>
      <c r="N692" s="76"/>
      <c r="O692" s="51"/>
      <c r="R692" s="53">
        <v>7.1</v>
      </c>
    </row>
    <row r="693" spans="1:18" s="56" customFormat="1" ht="12" x14ac:dyDescent="0.2">
      <c r="A693" s="73" t="s">
        <v>308</v>
      </c>
      <c r="B693" s="80">
        <v>44778</v>
      </c>
      <c r="C693" s="74" t="s">
        <v>1117</v>
      </c>
      <c r="D693" s="73" t="s">
        <v>102</v>
      </c>
      <c r="E693" s="75">
        <v>40</v>
      </c>
      <c r="F693" s="75"/>
      <c r="G693" s="75"/>
      <c r="H693" s="75">
        <f t="shared" si="129"/>
        <v>1.72</v>
      </c>
      <c r="I693" s="75">
        <f t="shared" si="130"/>
        <v>2.19</v>
      </c>
      <c r="J693" s="76">
        <f t="shared" si="131"/>
        <v>68.8</v>
      </c>
      <c r="K693" s="76">
        <f t="shared" si="132"/>
        <v>87.6</v>
      </c>
      <c r="L693" s="76"/>
      <c r="M693" s="76"/>
      <c r="N693" s="76"/>
      <c r="O693" s="51"/>
      <c r="R693" s="53">
        <v>1.72</v>
      </c>
    </row>
    <row r="694" spans="1:18" s="56" customFormat="1" ht="12" x14ac:dyDescent="0.2">
      <c r="A694" s="73" t="s">
        <v>308</v>
      </c>
      <c r="B694" s="80">
        <v>44779</v>
      </c>
      <c r="C694" s="74" t="s">
        <v>1118</v>
      </c>
      <c r="D694" s="73" t="s">
        <v>102</v>
      </c>
      <c r="E694" s="75">
        <v>4</v>
      </c>
      <c r="F694" s="75"/>
      <c r="G694" s="75"/>
      <c r="H694" s="75">
        <f t="shared" si="129"/>
        <v>2.33</v>
      </c>
      <c r="I694" s="75">
        <f t="shared" si="130"/>
        <v>2.97</v>
      </c>
      <c r="J694" s="76">
        <f t="shared" si="131"/>
        <v>9.32</v>
      </c>
      <c r="K694" s="76">
        <f t="shared" si="132"/>
        <v>11.88</v>
      </c>
      <c r="L694" s="76"/>
      <c r="M694" s="76"/>
      <c r="N694" s="76"/>
      <c r="O694" s="51"/>
      <c r="R694" s="53">
        <v>2.33</v>
      </c>
    </row>
    <row r="695" spans="1:18" s="56" customFormat="1" ht="12" x14ac:dyDescent="0.2">
      <c r="A695" s="73" t="s">
        <v>308</v>
      </c>
      <c r="B695" s="80">
        <v>44780</v>
      </c>
      <c r="C695" s="74" t="s">
        <v>1119</v>
      </c>
      <c r="D695" s="73" t="s">
        <v>102</v>
      </c>
      <c r="E695" s="75">
        <v>7</v>
      </c>
      <c r="F695" s="75"/>
      <c r="G695" s="75"/>
      <c r="H695" s="75">
        <f t="shared" si="129"/>
        <v>4.74</v>
      </c>
      <c r="I695" s="75">
        <f t="shared" si="130"/>
        <v>6.05</v>
      </c>
      <c r="J695" s="76">
        <f t="shared" si="131"/>
        <v>33.18</v>
      </c>
      <c r="K695" s="76">
        <f t="shared" si="132"/>
        <v>42.35</v>
      </c>
      <c r="L695" s="76"/>
      <c r="M695" s="76"/>
      <c r="N695" s="76"/>
      <c r="O695" s="51"/>
      <c r="R695" s="53">
        <v>4.74</v>
      </c>
    </row>
    <row r="696" spans="1:18" s="56" customFormat="1" ht="12" x14ac:dyDescent="0.2">
      <c r="A696" s="72"/>
      <c r="B696" s="73" t="s">
        <v>1120</v>
      </c>
      <c r="C696" s="71" t="s">
        <v>1121</v>
      </c>
      <c r="D696" s="72"/>
      <c r="E696" s="72"/>
      <c r="F696" s="72"/>
      <c r="G696" s="72"/>
      <c r="H696" s="75"/>
      <c r="I696" s="72"/>
      <c r="J696" s="72"/>
      <c r="K696" s="72"/>
      <c r="L696" s="72"/>
      <c r="M696" s="72"/>
      <c r="N696" s="72"/>
      <c r="O696" s="52"/>
      <c r="R696" s="52"/>
    </row>
    <row r="697" spans="1:18" s="56" customFormat="1" ht="12" x14ac:dyDescent="0.2">
      <c r="A697" s="73" t="s">
        <v>308</v>
      </c>
      <c r="B697" s="80">
        <v>44805</v>
      </c>
      <c r="C697" s="74" t="s">
        <v>1122</v>
      </c>
      <c r="D697" s="73" t="s">
        <v>102</v>
      </c>
      <c r="E697" s="75">
        <v>41</v>
      </c>
      <c r="F697" s="75"/>
      <c r="G697" s="75"/>
      <c r="H697" s="75">
        <f>ROUND(R697*$R$12,2)</f>
        <v>11.01</v>
      </c>
      <c r="I697" s="75">
        <f>ROUND(H697*(1+$S$1),2)</f>
        <v>14.05</v>
      </c>
      <c r="J697" s="76">
        <f>ROUND(E697*H697,2)</f>
        <v>451.41</v>
      </c>
      <c r="K697" s="76">
        <f>ROUND(E697*I697,2)</f>
        <v>576.04999999999995</v>
      </c>
      <c r="L697" s="76"/>
      <c r="M697" s="76"/>
      <c r="N697" s="76"/>
      <c r="O697" s="51"/>
      <c r="R697" s="53">
        <v>11.01</v>
      </c>
    </row>
    <row r="698" spans="1:18" s="56" customFormat="1" ht="12" x14ac:dyDescent="0.2">
      <c r="A698" s="72"/>
      <c r="B698" s="71"/>
      <c r="C698" s="71"/>
      <c r="D698" s="71"/>
      <c r="E698" s="71"/>
      <c r="F698" s="71"/>
      <c r="G698" s="71"/>
      <c r="H698" s="75"/>
      <c r="I698" s="77" t="s">
        <v>1123</v>
      </c>
      <c r="J698" s="78">
        <f>SUM(J673:J697,J628:J671)</f>
        <v>17207.709999999995</v>
      </c>
      <c r="K698" s="78">
        <f>SUM(K673:K697,K628:K671)</f>
        <v>21950.29</v>
      </c>
      <c r="L698" s="78"/>
      <c r="M698" s="78"/>
      <c r="N698" s="78"/>
      <c r="O698" s="60"/>
      <c r="R698" s="59"/>
    </row>
    <row r="699" spans="1:18" s="56" customFormat="1" ht="24" x14ac:dyDescent="0.2">
      <c r="A699" s="72"/>
      <c r="B699" s="70" t="s">
        <v>1124</v>
      </c>
      <c r="C699" s="71" t="s">
        <v>1125</v>
      </c>
      <c r="D699" s="72"/>
      <c r="E699" s="72"/>
      <c r="F699" s="72"/>
      <c r="G699" s="72"/>
      <c r="H699" s="75"/>
      <c r="I699" s="72"/>
      <c r="J699" s="72"/>
      <c r="K699" s="72"/>
      <c r="L699" s="72"/>
      <c r="M699" s="72"/>
      <c r="N699" s="72"/>
      <c r="O699" s="52"/>
      <c r="R699" s="52"/>
    </row>
    <row r="700" spans="1:18" s="56" customFormat="1" ht="12" x14ac:dyDescent="0.2">
      <c r="A700" s="72"/>
      <c r="B700" s="70" t="s">
        <v>1126</v>
      </c>
      <c r="C700" s="71" t="s">
        <v>684</v>
      </c>
      <c r="D700" s="72"/>
      <c r="E700" s="72"/>
      <c r="F700" s="72"/>
      <c r="G700" s="72"/>
      <c r="H700" s="75"/>
      <c r="I700" s="72"/>
      <c r="J700" s="72"/>
      <c r="K700" s="72"/>
      <c r="L700" s="72"/>
      <c r="M700" s="72"/>
      <c r="N700" s="72"/>
      <c r="O700" s="52"/>
      <c r="R700" s="52"/>
    </row>
    <row r="701" spans="1:18" s="56" customFormat="1" ht="24" x14ac:dyDescent="0.2">
      <c r="A701" s="73" t="s">
        <v>308</v>
      </c>
      <c r="B701" s="80">
        <v>44927</v>
      </c>
      <c r="C701" s="74" t="s">
        <v>1127</v>
      </c>
      <c r="D701" s="73" t="s">
        <v>102</v>
      </c>
      <c r="E701" s="75">
        <v>1</v>
      </c>
      <c r="F701" s="75"/>
      <c r="G701" s="75"/>
      <c r="H701" s="75">
        <f>ROUND(R701*$R$12,2)</f>
        <v>419.11</v>
      </c>
      <c r="I701" s="75">
        <f>ROUND(H701*(1+$S$1),2)</f>
        <v>534.74</v>
      </c>
      <c r="J701" s="76">
        <f>ROUND(E701*H701,2)</f>
        <v>419.11</v>
      </c>
      <c r="K701" s="76">
        <f>ROUND(E701*I701,2)</f>
        <v>534.74</v>
      </c>
      <c r="L701" s="76"/>
      <c r="M701" s="76"/>
      <c r="N701" s="76"/>
      <c r="O701" s="51"/>
      <c r="R701" s="53">
        <v>419.11</v>
      </c>
    </row>
    <row r="702" spans="1:18" s="56" customFormat="1" ht="24" x14ac:dyDescent="0.2">
      <c r="A702" s="73" t="s">
        <v>308</v>
      </c>
      <c r="B702" s="80">
        <v>44928</v>
      </c>
      <c r="C702" s="74" t="s">
        <v>1128</v>
      </c>
      <c r="D702" s="73" t="s">
        <v>102</v>
      </c>
      <c r="E702" s="75">
        <v>1</v>
      </c>
      <c r="F702" s="75"/>
      <c r="G702" s="75"/>
      <c r="H702" s="75">
        <f>ROUND(R702*$R$12,2)</f>
        <v>385</v>
      </c>
      <c r="I702" s="75">
        <f>ROUND(H702*(1+$S$1),2)</f>
        <v>491.22</v>
      </c>
      <c r="J702" s="76">
        <f>ROUND(E702*H702,2)</f>
        <v>385</v>
      </c>
      <c r="K702" s="76">
        <f>ROUND(E702*I702,2)</f>
        <v>491.22</v>
      </c>
      <c r="L702" s="76"/>
      <c r="M702" s="76"/>
      <c r="N702" s="76"/>
      <c r="O702" s="51"/>
      <c r="R702" s="53">
        <v>385</v>
      </c>
    </row>
    <row r="703" spans="1:18" s="56" customFormat="1" ht="24" x14ac:dyDescent="0.2">
      <c r="A703" s="73" t="s">
        <v>308</v>
      </c>
      <c r="B703" s="80">
        <v>44929</v>
      </c>
      <c r="C703" s="74" t="s">
        <v>1129</v>
      </c>
      <c r="D703" s="73" t="s">
        <v>102</v>
      </c>
      <c r="E703" s="75">
        <v>1</v>
      </c>
      <c r="F703" s="75"/>
      <c r="G703" s="75"/>
      <c r="H703" s="75">
        <f>ROUND(R703*$R$12,2)</f>
        <v>250</v>
      </c>
      <c r="I703" s="75">
        <f>ROUND(H703*(1+$S$1),2)</f>
        <v>318.98</v>
      </c>
      <c r="J703" s="76">
        <f>ROUND(E703*H703,2)</f>
        <v>250</v>
      </c>
      <c r="K703" s="76">
        <f>ROUND(E703*I703,2)</f>
        <v>318.98</v>
      </c>
      <c r="L703" s="76"/>
      <c r="M703" s="76"/>
      <c r="N703" s="76"/>
      <c r="O703" s="51"/>
      <c r="R703" s="53">
        <v>250</v>
      </c>
    </row>
    <row r="704" spans="1:18" s="56" customFormat="1" ht="12" x14ac:dyDescent="0.2">
      <c r="A704" s="72"/>
      <c r="B704" s="71"/>
      <c r="C704" s="71"/>
      <c r="D704" s="71"/>
      <c r="E704" s="71"/>
      <c r="F704" s="71"/>
      <c r="G704" s="71"/>
      <c r="H704" s="75"/>
      <c r="I704" s="77" t="s">
        <v>1130</v>
      </c>
      <c r="J704" s="78">
        <f>SUM(J701:J703)</f>
        <v>1054.1100000000001</v>
      </c>
      <c r="K704" s="78">
        <f>SUM(K701:K703)</f>
        <v>1344.94</v>
      </c>
      <c r="L704" s="78"/>
      <c r="M704" s="78"/>
      <c r="N704" s="78"/>
      <c r="O704" s="60"/>
      <c r="R704" s="59"/>
    </row>
    <row r="705" spans="1:18" s="56" customFormat="1" ht="12" x14ac:dyDescent="0.2">
      <c r="A705" s="72"/>
      <c r="B705" s="70" t="s">
        <v>1131</v>
      </c>
      <c r="C705" s="71" t="s">
        <v>1132</v>
      </c>
      <c r="D705" s="72"/>
      <c r="E705" s="72"/>
      <c r="F705" s="72"/>
      <c r="G705" s="72"/>
      <c r="H705" s="75"/>
      <c r="I705" s="72"/>
      <c r="J705" s="72"/>
      <c r="K705" s="72"/>
      <c r="L705" s="72"/>
      <c r="M705" s="72"/>
      <c r="N705" s="72"/>
      <c r="O705" s="52"/>
      <c r="R705" s="52"/>
    </row>
    <row r="706" spans="1:18" s="56" customFormat="1" ht="12" x14ac:dyDescent="0.2">
      <c r="A706" s="72"/>
      <c r="B706" s="81">
        <v>44958</v>
      </c>
      <c r="C706" s="71" t="s">
        <v>1133</v>
      </c>
      <c r="D706" s="72"/>
      <c r="E706" s="72"/>
      <c r="F706" s="72"/>
      <c r="G706" s="72"/>
      <c r="H706" s="75"/>
      <c r="I706" s="72"/>
      <c r="J706" s="72"/>
      <c r="K706" s="72"/>
      <c r="L706" s="72"/>
      <c r="M706" s="72"/>
      <c r="N706" s="72"/>
      <c r="O706" s="52"/>
      <c r="R706" s="52"/>
    </row>
    <row r="707" spans="1:18" s="56" customFormat="1" ht="25.5" x14ac:dyDescent="0.2">
      <c r="A707" s="73" t="s">
        <v>308</v>
      </c>
      <c r="B707" s="73" t="s">
        <v>1134</v>
      </c>
      <c r="C707" s="74" t="s">
        <v>1175</v>
      </c>
      <c r="D707" s="73" t="s">
        <v>35</v>
      </c>
      <c r="E707" s="75">
        <v>8</v>
      </c>
      <c r="F707" s="75"/>
      <c r="G707" s="75"/>
      <c r="H707" s="75">
        <f t="shared" ref="H707:H712" si="133">ROUND(R707*$R$12,2)</f>
        <v>15.25</v>
      </c>
      <c r="I707" s="75">
        <f t="shared" ref="I707:I712" si="134">ROUND(H707*(1+$S$1),2)</f>
        <v>19.46</v>
      </c>
      <c r="J707" s="76">
        <f t="shared" ref="J707:J712" si="135">ROUND(E707*H707,2)</f>
        <v>122</v>
      </c>
      <c r="K707" s="76">
        <f t="shared" ref="K707:K712" si="136">ROUND(E707*I707,2)</f>
        <v>155.68</v>
      </c>
      <c r="L707" s="76"/>
      <c r="M707" s="76"/>
      <c r="N707" s="76"/>
      <c r="O707" s="51"/>
      <c r="R707" s="53">
        <v>15.25</v>
      </c>
    </row>
    <row r="708" spans="1:18" s="56" customFormat="1" ht="25.5" x14ac:dyDescent="0.2">
      <c r="A708" s="73" t="s">
        <v>308</v>
      </c>
      <c r="B708" s="73" t="s">
        <v>1135</v>
      </c>
      <c r="C708" s="74" t="s">
        <v>1176</v>
      </c>
      <c r="D708" s="73" t="s">
        <v>35</v>
      </c>
      <c r="E708" s="75">
        <v>16</v>
      </c>
      <c r="F708" s="75"/>
      <c r="G708" s="75"/>
      <c r="H708" s="75">
        <f t="shared" si="133"/>
        <v>21.01</v>
      </c>
      <c r="I708" s="75">
        <f t="shared" si="134"/>
        <v>26.81</v>
      </c>
      <c r="J708" s="76">
        <f t="shared" si="135"/>
        <v>336.16</v>
      </c>
      <c r="K708" s="76">
        <f t="shared" si="136"/>
        <v>428.96</v>
      </c>
      <c r="L708" s="76"/>
      <c r="M708" s="76"/>
      <c r="N708" s="76"/>
      <c r="O708" s="51"/>
      <c r="R708" s="53">
        <v>21.01</v>
      </c>
    </row>
    <row r="709" spans="1:18" s="56" customFormat="1" ht="24" x14ac:dyDescent="0.2">
      <c r="A709" s="73" t="s">
        <v>308</v>
      </c>
      <c r="B709" s="73" t="s">
        <v>1136</v>
      </c>
      <c r="C709" s="74" t="s">
        <v>1137</v>
      </c>
      <c r="D709" s="73" t="s">
        <v>102</v>
      </c>
      <c r="E709" s="75">
        <v>1</v>
      </c>
      <c r="F709" s="75"/>
      <c r="G709" s="75"/>
      <c r="H709" s="75">
        <f t="shared" si="133"/>
        <v>64.55</v>
      </c>
      <c r="I709" s="75">
        <f t="shared" si="134"/>
        <v>82.36</v>
      </c>
      <c r="J709" s="76">
        <f t="shared" si="135"/>
        <v>64.55</v>
      </c>
      <c r="K709" s="76">
        <f t="shared" si="136"/>
        <v>82.36</v>
      </c>
      <c r="L709" s="76"/>
      <c r="M709" s="76"/>
      <c r="N709" s="76"/>
      <c r="O709" s="51"/>
      <c r="R709" s="53">
        <v>64.55</v>
      </c>
    </row>
    <row r="710" spans="1:18" s="56" customFormat="1" ht="12" x14ac:dyDescent="0.2">
      <c r="A710" s="73" t="s">
        <v>308</v>
      </c>
      <c r="B710" s="73" t="s">
        <v>1138</v>
      </c>
      <c r="C710" s="74" t="s">
        <v>1139</v>
      </c>
      <c r="D710" s="73" t="s">
        <v>102</v>
      </c>
      <c r="E710" s="75">
        <v>2</v>
      </c>
      <c r="F710" s="75"/>
      <c r="G710" s="75"/>
      <c r="H710" s="75">
        <f t="shared" si="133"/>
        <v>46.92</v>
      </c>
      <c r="I710" s="75">
        <f t="shared" si="134"/>
        <v>59.87</v>
      </c>
      <c r="J710" s="76">
        <f t="shared" si="135"/>
        <v>93.84</v>
      </c>
      <c r="K710" s="76">
        <f t="shared" si="136"/>
        <v>119.74</v>
      </c>
      <c r="L710" s="76"/>
      <c r="M710" s="76"/>
      <c r="N710" s="76"/>
      <c r="O710" s="51"/>
      <c r="R710" s="53">
        <v>46.92</v>
      </c>
    </row>
    <row r="711" spans="1:18" s="56" customFormat="1" ht="12" x14ac:dyDescent="0.2">
      <c r="A711" s="73" t="s">
        <v>308</v>
      </c>
      <c r="B711" s="73" t="s">
        <v>1140</v>
      </c>
      <c r="C711" s="74" t="s">
        <v>1141</v>
      </c>
      <c r="D711" s="73" t="s">
        <v>102</v>
      </c>
      <c r="E711" s="75">
        <v>2</v>
      </c>
      <c r="F711" s="75"/>
      <c r="G711" s="75"/>
      <c r="H711" s="75">
        <f t="shared" si="133"/>
        <v>63.34</v>
      </c>
      <c r="I711" s="75">
        <f t="shared" si="134"/>
        <v>80.819999999999993</v>
      </c>
      <c r="J711" s="76">
        <f t="shared" si="135"/>
        <v>126.68</v>
      </c>
      <c r="K711" s="76">
        <f t="shared" si="136"/>
        <v>161.63999999999999</v>
      </c>
      <c r="L711" s="76"/>
      <c r="M711" s="76"/>
      <c r="N711" s="76"/>
      <c r="O711" s="51"/>
      <c r="R711" s="53">
        <v>63.34</v>
      </c>
    </row>
    <row r="712" spans="1:18" s="56" customFormat="1" ht="12" x14ac:dyDescent="0.2">
      <c r="A712" s="73" t="s">
        <v>308</v>
      </c>
      <c r="B712" s="73" t="s">
        <v>1142</v>
      </c>
      <c r="C712" s="74" t="s">
        <v>1143</v>
      </c>
      <c r="D712" s="73" t="s">
        <v>102</v>
      </c>
      <c r="E712" s="75">
        <v>1</v>
      </c>
      <c r="F712" s="75"/>
      <c r="G712" s="75"/>
      <c r="H712" s="75">
        <f t="shared" si="133"/>
        <v>112.15</v>
      </c>
      <c r="I712" s="75">
        <f t="shared" si="134"/>
        <v>143.09</v>
      </c>
      <c r="J712" s="76">
        <f t="shared" si="135"/>
        <v>112.15</v>
      </c>
      <c r="K712" s="76">
        <f t="shared" si="136"/>
        <v>143.09</v>
      </c>
      <c r="L712" s="76"/>
      <c r="M712" s="76"/>
      <c r="N712" s="76"/>
      <c r="O712" s="51"/>
      <c r="R712" s="53">
        <v>112.15</v>
      </c>
    </row>
    <row r="713" spans="1:18" s="56" customFormat="1" ht="12" x14ac:dyDescent="0.2">
      <c r="A713" s="72"/>
      <c r="B713" s="81">
        <v>44959</v>
      </c>
      <c r="C713" s="71" t="s">
        <v>1144</v>
      </c>
      <c r="D713" s="72"/>
      <c r="E713" s="72"/>
      <c r="F713" s="72"/>
      <c r="G713" s="72"/>
      <c r="H713" s="75"/>
      <c r="I713" s="72"/>
      <c r="J713" s="72"/>
      <c r="K713" s="75"/>
      <c r="L713" s="75"/>
      <c r="M713" s="75"/>
      <c r="N713" s="75"/>
      <c r="O713" s="53"/>
      <c r="R713" s="52"/>
    </row>
    <row r="714" spans="1:18" s="56" customFormat="1" ht="24" x14ac:dyDescent="0.2">
      <c r="A714" s="73" t="s">
        <v>308</v>
      </c>
      <c r="B714" s="73" t="s">
        <v>1145</v>
      </c>
      <c r="C714" s="74" t="s">
        <v>1146</v>
      </c>
      <c r="D714" s="73" t="s">
        <v>102</v>
      </c>
      <c r="E714" s="75">
        <v>1</v>
      </c>
      <c r="F714" s="75"/>
      <c r="G714" s="75"/>
      <c r="H714" s="75">
        <f>ROUND(R714*$R$12,2)</f>
        <v>649.99</v>
      </c>
      <c r="I714" s="75">
        <f t="shared" ref="I714:I719" si="137">ROUND(H714*(1+$S$1),2)</f>
        <v>829.32</v>
      </c>
      <c r="J714" s="76">
        <f t="shared" ref="J714:J719" si="138">ROUND(E714*H714,2)</f>
        <v>649.99</v>
      </c>
      <c r="K714" s="76">
        <f t="shared" ref="K714:K719" si="139">ROUND(E714*I714,2)</f>
        <v>829.32</v>
      </c>
      <c r="L714" s="76"/>
      <c r="M714" s="76"/>
      <c r="N714" s="76"/>
      <c r="O714" s="51"/>
      <c r="R714" s="53">
        <v>649.99</v>
      </c>
    </row>
    <row r="715" spans="1:18" s="56" customFormat="1" ht="12" x14ac:dyDescent="0.2">
      <c r="A715" s="72"/>
      <c r="B715" s="81">
        <v>44960</v>
      </c>
      <c r="C715" s="71" t="s">
        <v>684</v>
      </c>
      <c r="D715" s="72"/>
      <c r="E715" s="72"/>
      <c r="F715" s="72"/>
      <c r="G715" s="72"/>
      <c r="H715" s="75"/>
      <c r="I715" s="75">
        <f t="shared" si="137"/>
        <v>0</v>
      </c>
      <c r="J715" s="76">
        <f t="shared" si="138"/>
        <v>0</v>
      </c>
      <c r="K715" s="76">
        <f t="shared" si="139"/>
        <v>0</v>
      </c>
      <c r="L715" s="76"/>
      <c r="M715" s="76"/>
      <c r="N715" s="76"/>
      <c r="O715" s="51"/>
      <c r="R715" s="52"/>
    </row>
    <row r="716" spans="1:18" s="56" customFormat="1" ht="24" x14ac:dyDescent="0.2">
      <c r="A716" s="73" t="s">
        <v>308</v>
      </c>
      <c r="B716" s="73" t="s">
        <v>1147</v>
      </c>
      <c r="C716" s="74" t="s">
        <v>1148</v>
      </c>
      <c r="D716" s="73" t="s">
        <v>102</v>
      </c>
      <c r="E716" s="75">
        <v>3</v>
      </c>
      <c r="F716" s="75"/>
      <c r="G716" s="75"/>
      <c r="H716" s="75">
        <f>ROUND(R716*$R$12,2)</f>
        <v>33.46</v>
      </c>
      <c r="I716" s="75">
        <f t="shared" si="137"/>
        <v>42.69</v>
      </c>
      <c r="J716" s="76">
        <f t="shared" si="138"/>
        <v>100.38</v>
      </c>
      <c r="K716" s="76">
        <f t="shared" si="139"/>
        <v>128.07</v>
      </c>
      <c r="L716" s="76"/>
      <c r="M716" s="76"/>
      <c r="N716" s="76"/>
      <c r="O716" s="51"/>
      <c r="R716" s="53">
        <v>33.46</v>
      </c>
    </row>
    <row r="717" spans="1:18" s="56" customFormat="1" ht="24" x14ac:dyDescent="0.2">
      <c r="A717" s="73" t="s">
        <v>308</v>
      </c>
      <c r="B717" s="73" t="s">
        <v>1149</v>
      </c>
      <c r="C717" s="74" t="s">
        <v>1150</v>
      </c>
      <c r="D717" s="73" t="s">
        <v>102</v>
      </c>
      <c r="E717" s="75">
        <v>3</v>
      </c>
      <c r="F717" s="75"/>
      <c r="G717" s="75"/>
      <c r="H717" s="75">
        <f>ROUND(R717*$R$12,2)</f>
        <v>21.01</v>
      </c>
      <c r="I717" s="75">
        <f t="shared" si="137"/>
        <v>26.81</v>
      </c>
      <c r="J717" s="76">
        <f t="shared" si="138"/>
        <v>63.03</v>
      </c>
      <c r="K717" s="76">
        <f t="shared" si="139"/>
        <v>80.430000000000007</v>
      </c>
      <c r="L717" s="76"/>
      <c r="M717" s="76"/>
      <c r="N717" s="76"/>
      <c r="O717" s="51"/>
      <c r="R717" s="53">
        <v>21.01</v>
      </c>
    </row>
    <row r="718" spans="1:18" s="56" customFormat="1" ht="24" x14ac:dyDescent="0.2">
      <c r="A718" s="73" t="s">
        <v>308</v>
      </c>
      <c r="B718" s="73" t="s">
        <v>1151</v>
      </c>
      <c r="C718" s="74" t="s">
        <v>1152</v>
      </c>
      <c r="D718" s="73" t="s">
        <v>102</v>
      </c>
      <c r="E718" s="75">
        <v>2</v>
      </c>
      <c r="F718" s="75"/>
      <c r="G718" s="75"/>
      <c r="H718" s="75">
        <f>ROUND(R718*$R$12,2)</f>
        <v>33.46</v>
      </c>
      <c r="I718" s="75">
        <f t="shared" si="137"/>
        <v>42.69</v>
      </c>
      <c r="J718" s="76">
        <f t="shared" si="138"/>
        <v>66.92</v>
      </c>
      <c r="K718" s="76">
        <f t="shared" si="139"/>
        <v>85.38</v>
      </c>
      <c r="L718" s="76"/>
      <c r="M718" s="76"/>
      <c r="N718" s="76"/>
      <c r="O718" s="51"/>
      <c r="R718" s="53">
        <v>33.46</v>
      </c>
    </row>
    <row r="719" spans="1:18" s="56" customFormat="1" ht="12" x14ac:dyDescent="0.2">
      <c r="A719" s="73" t="s">
        <v>308</v>
      </c>
      <c r="B719" s="73" t="s">
        <v>1153</v>
      </c>
      <c r="C719" s="74" t="s">
        <v>1154</v>
      </c>
      <c r="D719" s="73" t="s">
        <v>81</v>
      </c>
      <c r="E719" s="75">
        <v>3</v>
      </c>
      <c r="F719" s="75"/>
      <c r="G719" s="75"/>
      <c r="H719" s="75">
        <f>ROUND(R719*$R$12,2)</f>
        <v>9.4</v>
      </c>
      <c r="I719" s="75">
        <f t="shared" si="137"/>
        <v>11.99</v>
      </c>
      <c r="J719" s="76">
        <f t="shared" si="138"/>
        <v>28.2</v>
      </c>
      <c r="K719" s="76">
        <f t="shared" si="139"/>
        <v>35.97</v>
      </c>
      <c r="L719" s="76"/>
      <c r="M719" s="76"/>
      <c r="N719" s="76"/>
      <c r="O719" s="51"/>
      <c r="R719" s="53">
        <v>9.4</v>
      </c>
    </row>
    <row r="720" spans="1:18" s="56" customFormat="1" ht="12" x14ac:dyDescent="0.2">
      <c r="A720" s="72"/>
      <c r="B720" s="71"/>
      <c r="C720" s="71"/>
      <c r="D720" s="71"/>
      <c r="E720" s="71"/>
      <c r="F720" s="71"/>
      <c r="G720" s="71"/>
      <c r="H720" s="75"/>
      <c r="I720" s="77" t="s">
        <v>1155</v>
      </c>
      <c r="J720" s="78">
        <f>SUM(J707:J719)</f>
        <v>1763.9</v>
      </c>
      <c r="K720" s="78">
        <f>SUM(K707:K719)</f>
        <v>2250.64</v>
      </c>
      <c r="L720" s="78"/>
      <c r="M720" s="78"/>
      <c r="N720" s="78"/>
      <c r="O720" s="60"/>
      <c r="R720" s="59"/>
    </row>
    <row r="721" spans="1:18" s="56" customFormat="1" ht="12" x14ac:dyDescent="0.2">
      <c r="A721" s="72"/>
      <c r="B721" s="71"/>
      <c r="C721" s="71"/>
      <c r="D721" s="71"/>
      <c r="E721" s="71"/>
      <c r="F721" s="71"/>
      <c r="G721" s="71"/>
      <c r="H721" s="75"/>
      <c r="I721" s="77" t="s">
        <v>1156</v>
      </c>
      <c r="J721" s="78">
        <f>SUM(J704,J720)</f>
        <v>2818.01</v>
      </c>
      <c r="K721" s="78">
        <f>SUM(K704,K720)</f>
        <v>3595.58</v>
      </c>
      <c r="L721" s="78"/>
      <c r="M721" s="78"/>
      <c r="N721" s="78"/>
      <c r="O721" s="60"/>
      <c r="R721" s="59"/>
    </row>
    <row r="722" spans="1:18" s="56" customFormat="1" ht="12" x14ac:dyDescent="0.2">
      <c r="A722" s="72"/>
      <c r="B722" s="70" t="s">
        <v>1157</v>
      </c>
      <c r="C722" s="71" t="s">
        <v>1158</v>
      </c>
      <c r="D722" s="72"/>
      <c r="E722" s="72"/>
      <c r="F722" s="72"/>
      <c r="G722" s="72"/>
      <c r="H722" s="75"/>
      <c r="I722" s="72"/>
      <c r="J722" s="72"/>
      <c r="K722" s="72"/>
      <c r="L722" s="72"/>
      <c r="M722" s="72"/>
      <c r="N722" s="72"/>
      <c r="O722" s="52"/>
      <c r="R722" s="52"/>
    </row>
    <row r="723" spans="1:18" s="56" customFormat="1" ht="24" x14ac:dyDescent="0.2">
      <c r="A723" s="72"/>
      <c r="B723" s="70" t="s">
        <v>1159</v>
      </c>
      <c r="C723" s="71" t="s">
        <v>1160</v>
      </c>
      <c r="D723" s="71"/>
      <c r="E723" s="71"/>
      <c r="F723" s="71"/>
      <c r="G723" s="71"/>
      <c r="H723" s="75"/>
      <c r="I723" s="71"/>
      <c r="J723" s="71"/>
      <c r="K723" s="72"/>
      <c r="L723" s="72"/>
      <c r="M723" s="72"/>
      <c r="N723" s="72"/>
      <c r="O723" s="52"/>
      <c r="R723" s="59"/>
    </row>
    <row r="724" spans="1:18" s="56" customFormat="1" ht="12" x14ac:dyDescent="0.2">
      <c r="A724" s="72"/>
      <c r="B724" s="81">
        <v>45292</v>
      </c>
      <c r="C724" s="71" t="s">
        <v>626</v>
      </c>
      <c r="D724" s="71"/>
      <c r="E724" s="71"/>
      <c r="F724" s="71"/>
      <c r="G724" s="71"/>
      <c r="H724" s="75"/>
      <c r="I724" s="71"/>
      <c r="J724" s="71"/>
      <c r="K724" s="72"/>
      <c r="L724" s="72"/>
      <c r="M724" s="72"/>
      <c r="N724" s="72"/>
      <c r="O724" s="52"/>
      <c r="R724" s="59"/>
    </row>
    <row r="725" spans="1:18" s="56" customFormat="1" ht="12" x14ac:dyDescent="0.2">
      <c r="A725" s="94">
        <v>92690</v>
      </c>
      <c r="B725" s="73" t="s">
        <v>1161</v>
      </c>
      <c r="C725" s="74" t="s">
        <v>1162</v>
      </c>
      <c r="D725" s="73" t="s">
        <v>81</v>
      </c>
      <c r="E725" s="75">
        <v>18</v>
      </c>
      <c r="F725" s="75"/>
      <c r="G725" s="75"/>
      <c r="H725" s="75">
        <f>ROUND(R725*$R$12,2)</f>
        <v>35.74</v>
      </c>
      <c r="I725" s="75">
        <f>ROUND(H725*(1+$S$1),2)</f>
        <v>45.6</v>
      </c>
      <c r="J725" s="76">
        <f>ROUND(E725*H725,2)</f>
        <v>643.32000000000005</v>
      </c>
      <c r="K725" s="76">
        <f>ROUND(E725*I725,2)</f>
        <v>820.8</v>
      </c>
      <c r="L725" s="76"/>
      <c r="M725" s="76"/>
      <c r="N725" s="76"/>
      <c r="O725" s="51"/>
      <c r="R725" s="53">
        <v>35.74</v>
      </c>
    </row>
    <row r="726" spans="1:18" s="56" customFormat="1" ht="12" x14ac:dyDescent="0.2">
      <c r="A726" s="94">
        <v>92689</v>
      </c>
      <c r="B726" s="73" t="s">
        <v>1163</v>
      </c>
      <c r="C726" s="74" t="s">
        <v>1164</v>
      </c>
      <c r="D726" s="73" t="s">
        <v>81</v>
      </c>
      <c r="E726" s="75">
        <v>18</v>
      </c>
      <c r="F726" s="75"/>
      <c r="G726" s="75"/>
      <c r="H726" s="75">
        <f>ROUND(R726*$R$12,2)</f>
        <v>24.41</v>
      </c>
      <c r="I726" s="75">
        <f>ROUND(H726*(1+$S$1),2)</f>
        <v>31.14</v>
      </c>
      <c r="J726" s="76">
        <f>ROUND(E726*H726,2)</f>
        <v>439.38</v>
      </c>
      <c r="K726" s="76">
        <f>ROUND(E726*I726,2)</f>
        <v>560.52</v>
      </c>
      <c r="L726" s="76"/>
      <c r="M726" s="76"/>
      <c r="N726" s="76"/>
      <c r="O726" s="51"/>
      <c r="R726" s="53">
        <v>24.41</v>
      </c>
    </row>
    <row r="727" spans="1:18" s="56" customFormat="1" ht="12" x14ac:dyDescent="0.2">
      <c r="A727" s="72"/>
      <c r="B727" s="81">
        <v>45293</v>
      </c>
      <c r="C727" s="71" t="s">
        <v>450</v>
      </c>
      <c r="D727" s="72"/>
      <c r="E727" s="72"/>
      <c r="F727" s="72"/>
      <c r="G727" s="72"/>
      <c r="H727" s="75"/>
      <c r="I727" s="72"/>
      <c r="J727" s="72"/>
      <c r="K727" s="72"/>
      <c r="L727" s="72"/>
      <c r="M727" s="72"/>
      <c r="N727" s="72"/>
      <c r="O727" s="52"/>
      <c r="R727" s="52"/>
    </row>
    <row r="728" spans="1:18" s="56" customFormat="1" ht="12" x14ac:dyDescent="0.2">
      <c r="A728" s="73" t="s">
        <v>308</v>
      </c>
      <c r="B728" s="73" t="s">
        <v>1165</v>
      </c>
      <c r="C728" s="74" t="s">
        <v>1166</v>
      </c>
      <c r="D728" s="73" t="s">
        <v>102</v>
      </c>
      <c r="E728" s="75">
        <v>2</v>
      </c>
      <c r="F728" s="75"/>
      <c r="G728" s="75"/>
      <c r="H728" s="75">
        <f>ROUND(R728*$R$12,2)</f>
        <v>18.7</v>
      </c>
      <c r="I728" s="75">
        <f>ROUND(H728*(1+$S$1),2)</f>
        <v>23.86</v>
      </c>
      <c r="J728" s="76">
        <f>ROUND(E728*H728,2)</f>
        <v>37.4</v>
      </c>
      <c r="K728" s="76">
        <f>ROUND(E728*I728,2)</f>
        <v>47.72</v>
      </c>
      <c r="L728" s="76"/>
      <c r="M728" s="76"/>
      <c r="N728" s="76"/>
      <c r="O728" s="51"/>
      <c r="R728" s="53">
        <v>18.7</v>
      </c>
    </row>
    <row r="729" spans="1:18" s="56" customFormat="1" ht="12" x14ac:dyDescent="0.2">
      <c r="A729" s="72"/>
      <c r="B729" s="81">
        <v>45294</v>
      </c>
      <c r="C729" s="71" t="s">
        <v>750</v>
      </c>
      <c r="D729" s="72"/>
      <c r="E729" s="72"/>
      <c r="F729" s="72"/>
      <c r="G729" s="72"/>
      <c r="H729" s="75"/>
      <c r="I729" s="75"/>
      <c r="J729" s="75"/>
      <c r="K729" s="72"/>
      <c r="L729" s="72"/>
      <c r="M729" s="72"/>
      <c r="N729" s="72"/>
      <c r="O729" s="52"/>
      <c r="R729" s="52"/>
    </row>
    <row r="730" spans="1:18" s="56" customFormat="1" ht="24" x14ac:dyDescent="0.2">
      <c r="A730" s="73" t="s">
        <v>308</v>
      </c>
      <c r="B730" s="73" t="s">
        <v>1167</v>
      </c>
      <c r="C730" s="74" t="s">
        <v>1168</v>
      </c>
      <c r="D730" s="73" t="s">
        <v>102</v>
      </c>
      <c r="E730" s="75">
        <v>3</v>
      </c>
      <c r="F730" s="75"/>
      <c r="G730" s="75"/>
      <c r="H730" s="75">
        <f>ROUND(R730*$R$12,2)</f>
        <v>14.45</v>
      </c>
      <c r="I730" s="75">
        <f>ROUND(H730*(1+$S$1),2)</f>
        <v>18.440000000000001</v>
      </c>
      <c r="J730" s="76">
        <f>ROUND(E730*H730,2)</f>
        <v>43.35</v>
      </c>
      <c r="K730" s="76">
        <f>ROUND(E730*I730,2)</f>
        <v>55.32</v>
      </c>
      <c r="L730" s="76"/>
      <c r="M730" s="76"/>
      <c r="N730" s="76"/>
      <c r="O730" s="51"/>
      <c r="R730" s="53">
        <v>14.45</v>
      </c>
    </row>
    <row r="731" spans="1:18" s="56" customFormat="1" ht="24" x14ac:dyDescent="0.2">
      <c r="A731" s="73" t="s">
        <v>308</v>
      </c>
      <c r="B731" s="73" t="s">
        <v>1169</v>
      </c>
      <c r="C731" s="74" t="s">
        <v>1170</v>
      </c>
      <c r="D731" s="73" t="s">
        <v>102</v>
      </c>
      <c r="E731" s="75">
        <v>3</v>
      </c>
      <c r="F731" s="75"/>
      <c r="G731" s="75"/>
      <c r="H731" s="75">
        <f>ROUND(R731*$R$12,2)</f>
        <v>11.87</v>
      </c>
      <c r="I731" s="75">
        <f>ROUND(H731*(1+$S$1),2)</f>
        <v>15.14</v>
      </c>
      <c r="J731" s="76">
        <f>ROUND(E731*H731,2)</f>
        <v>35.61</v>
      </c>
      <c r="K731" s="76">
        <f>ROUND(E731*I731,2)</f>
        <v>45.42</v>
      </c>
      <c r="L731" s="76"/>
      <c r="M731" s="76"/>
      <c r="N731" s="76"/>
      <c r="O731" s="51"/>
      <c r="R731" s="53">
        <v>11.87</v>
      </c>
    </row>
    <row r="732" spans="1:18" s="56" customFormat="1" ht="12" x14ac:dyDescent="0.2">
      <c r="A732" s="72"/>
      <c r="B732" s="81">
        <v>45295</v>
      </c>
      <c r="C732" s="71" t="s">
        <v>652</v>
      </c>
      <c r="D732" s="72"/>
      <c r="E732" s="72"/>
      <c r="F732" s="72"/>
      <c r="G732" s="72"/>
      <c r="H732" s="75"/>
      <c r="I732" s="72"/>
      <c r="J732" s="72"/>
      <c r="K732" s="72"/>
      <c r="L732" s="72"/>
      <c r="M732" s="72"/>
      <c r="N732" s="72"/>
      <c r="O732" s="52"/>
      <c r="R732" s="52"/>
    </row>
    <row r="733" spans="1:18" s="56" customFormat="1" ht="12" x14ac:dyDescent="0.2">
      <c r="A733" s="73" t="s">
        <v>308</v>
      </c>
      <c r="B733" s="73" t="s">
        <v>1171</v>
      </c>
      <c r="C733" s="74" t="s">
        <v>1172</v>
      </c>
      <c r="D733" s="73" t="s">
        <v>102</v>
      </c>
      <c r="E733" s="75">
        <v>8</v>
      </c>
      <c r="F733" s="75"/>
      <c r="G733" s="75"/>
      <c r="H733" s="75">
        <f>ROUND(R733*$R$12,2)</f>
        <v>15.21</v>
      </c>
      <c r="I733" s="75">
        <f>ROUND(H733*(1+$S$1),2)</f>
        <v>19.41</v>
      </c>
      <c r="J733" s="76">
        <f>ROUND(E733*H733,2)</f>
        <v>121.68</v>
      </c>
      <c r="K733" s="76">
        <f>ROUND(E733*I733,2)</f>
        <v>155.28</v>
      </c>
      <c r="L733" s="76"/>
      <c r="M733" s="76"/>
      <c r="N733" s="76"/>
      <c r="O733" s="51"/>
      <c r="R733" s="53">
        <v>15.21</v>
      </c>
    </row>
    <row r="734" spans="1:18" s="56" customFormat="1" ht="12" x14ac:dyDescent="0.2">
      <c r="A734" s="73" t="s">
        <v>308</v>
      </c>
      <c r="B734" s="73" t="s">
        <v>1173</v>
      </c>
      <c r="C734" s="74" t="s">
        <v>1174</v>
      </c>
      <c r="D734" s="73" t="s">
        <v>102</v>
      </c>
      <c r="E734" s="75">
        <v>2</v>
      </c>
      <c r="F734" s="75"/>
      <c r="G734" s="75"/>
      <c r="H734" s="75">
        <f>ROUND(R734*$R$12,2)</f>
        <v>15.21</v>
      </c>
      <c r="I734" s="75">
        <f>ROUND(H734*(1+$S$1),2)</f>
        <v>19.41</v>
      </c>
      <c r="J734" s="76">
        <f>ROUND(E734*H734,2)</f>
        <v>30.42</v>
      </c>
      <c r="K734" s="76">
        <f>ROUND(E734*I734,2)</f>
        <v>38.82</v>
      </c>
      <c r="L734" s="76"/>
      <c r="M734" s="76"/>
      <c r="N734" s="76"/>
      <c r="O734" s="51"/>
      <c r="R734" s="53">
        <v>15.21</v>
      </c>
    </row>
    <row r="735" spans="1:18" s="56" customFormat="1" ht="12" x14ac:dyDescent="0.2">
      <c r="A735" s="72"/>
      <c r="B735" s="81">
        <v>45296</v>
      </c>
      <c r="C735" s="71" t="s">
        <v>1177</v>
      </c>
      <c r="D735" s="72"/>
      <c r="E735" s="72"/>
      <c r="F735" s="72"/>
      <c r="G735" s="72"/>
      <c r="H735" s="75"/>
      <c r="I735" s="72"/>
      <c r="J735" s="72"/>
      <c r="K735" s="72"/>
      <c r="L735" s="72"/>
      <c r="M735" s="72"/>
      <c r="N735" s="72"/>
      <c r="O735" s="52"/>
      <c r="R735" s="52"/>
    </row>
    <row r="736" spans="1:18" s="56" customFormat="1" ht="24" x14ac:dyDescent="0.2">
      <c r="A736" s="73" t="s">
        <v>308</v>
      </c>
      <c r="B736" s="73" t="s">
        <v>1178</v>
      </c>
      <c r="C736" s="74" t="s">
        <v>1179</v>
      </c>
      <c r="D736" s="73" t="s">
        <v>102</v>
      </c>
      <c r="E736" s="75">
        <v>2</v>
      </c>
      <c r="F736" s="75"/>
      <c r="G736" s="75"/>
      <c r="H736" s="75">
        <f>ROUND(R736*$R$12,2)</f>
        <v>20.8</v>
      </c>
      <c r="I736" s="75">
        <f>ROUND(H736*(1+$S$1),2)</f>
        <v>26.54</v>
      </c>
      <c r="J736" s="76">
        <f>ROUND(E736*H736,2)</f>
        <v>41.6</v>
      </c>
      <c r="K736" s="76">
        <f>ROUND(E736*I736,2)</f>
        <v>53.08</v>
      </c>
      <c r="L736" s="76"/>
      <c r="M736" s="76"/>
      <c r="N736" s="76"/>
      <c r="O736" s="51"/>
      <c r="R736" s="53">
        <v>20.8</v>
      </c>
    </row>
    <row r="737" spans="1:18" s="56" customFormat="1" ht="12" x14ac:dyDescent="0.2">
      <c r="A737" s="72"/>
      <c r="B737" s="81">
        <v>45297</v>
      </c>
      <c r="C737" s="71" t="s">
        <v>473</v>
      </c>
      <c r="D737" s="72"/>
      <c r="E737" s="72"/>
      <c r="F737" s="72"/>
      <c r="G737" s="72"/>
      <c r="H737" s="75"/>
      <c r="I737" s="72"/>
      <c r="J737" s="72"/>
      <c r="K737" s="72"/>
      <c r="L737" s="72"/>
      <c r="M737" s="72"/>
      <c r="N737" s="72"/>
      <c r="O737" s="52"/>
      <c r="R737" s="52"/>
    </row>
    <row r="738" spans="1:18" s="56" customFormat="1" ht="12" x14ac:dyDescent="0.2">
      <c r="A738" s="73" t="s">
        <v>308</v>
      </c>
      <c r="B738" s="73" t="s">
        <v>1180</v>
      </c>
      <c r="C738" s="74" t="s">
        <v>1181</v>
      </c>
      <c r="D738" s="73" t="s">
        <v>102</v>
      </c>
      <c r="E738" s="75">
        <v>3</v>
      </c>
      <c r="F738" s="75"/>
      <c r="G738" s="75"/>
      <c r="H738" s="75">
        <f>ROUND(R738*$R$12,2)</f>
        <v>79</v>
      </c>
      <c r="I738" s="75">
        <f>ROUND(H738*(1+$S$1),2)</f>
        <v>100.8</v>
      </c>
      <c r="J738" s="76">
        <f>ROUND(E738*H738,2)</f>
        <v>237</v>
      </c>
      <c r="K738" s="76">
        <f>ROUND(E738*I738,2)</f>
        <v>302.39999999999998</v>
      </c>
      <c r="L738" s="76"/>
      <c r="M738" s="76"/>
      <c r="N738" s="76"/>
      <c r="O738" s="51"/>
      <c r="R738" s="53">
        <v>79</v>
      </c>
    </row>
    <row r="739" spans="1:18" s="56" customFormat="1" ht="12" x14ac:dyDescent="0.2">
      <c r="A739" s="72"/>
      <c r="B739" s="81">
        <v>45298</v>
      </c>
      <c r="C739" s="71" t="s">
        <v>1182</v>
      </c>
      <c r="D739" s="72"/>
      <c r="E739" s="72"/>
      <c r="F739" s="72"/>
      <c r="G739" s="72"/>
      <c r="H739" s="75"/>
      <c r="I739" s="72"/>
      <c r="J739" s="72"/>
      <c r="K739" s="72"/>
      <c r="L739" s="72"/>
      <c r="M739" s="72"/>
      <c r="N739" s="72"/>
      <c r="O739" s="52"/>
      <c r="R739" s="52"/>
    </row>
    <row r="740" spans="1:18" s="56" customFormat="1" ht="12" x14ac:dyDescent="0.2">
      <c r="A740" s="73" t="s">
        <v>308</v>
      </c>
      <c r="B740" s="73" t="s">
        <v>1183</v>
      </c>
      <c r="C740" s="74" t="s">
        <v>1184</v>
      </c>
      <c r="D740" s="73" t="s">
        <v>102</v>
      </c>
      <c r="E740" s="75">
        <v>3</v>
      </c>
      <c r="F740" s="75"/>
      <c r="G740" s="75"/>
      <c r="H740" s="75">
        <f>ROUND(R740*$R$12,2)</f>
        <v>18.899999999999999</v>
      </c>
      <c r="I740" s="75">
        <f>ROUND(H740*(1+$S$1),2)</f>
        <v>24.11</v>
      </c>
      <c r="J740" s="76">
        <f>ROUND(E740*H740,2)</f>
        <v>56.7</v>
      </c>
      <c r="K740" s="76">
        <f>ROUND(E740*I740,2)</f>
        <v>72.33</v>
      </c>
      <c r="L740" s="76"/>
      <c r="M740" s="76"/>
      <c r="N740" s="76"/>
      <c r="O740" s="51"/>
      <c r="R740" s="53">
        <v>18.899999999999999</v>
      </c>
    </row>
    <row r="741" spans="1:18" s="56" customFormat="1" ht="12" x14ac:dyDescent="0.2">
      <c r="A741" s="73" t="s">
        <v>308</v>
      </c>
      <c r="B741" s="73" t="s">
        <v>1185</v>
      </c>
      <c r="C741" s="74" t="s">
        <v>1186</v>
      </c>
      <c r="D741" s="73" t="s">
        <v>102</v>
      </c>
      <c r="E741" s="75">
        <v>5</v>
      </c>
      <c r="F741" s="75"/>
      <c r="G741" s="75"/>
      <c r="H741" s="75">
        <f>ROUND(R741*$R$12,2)</f>
        <v>15.9</v>
      </c>
      <c r="I741" s="75">
        <f>ROUND(H741*(1+$S$1),2)</f>
        <v>20.29</v>
      </c>
      <c r="J741" s="76">
        <f>ROUND(E741*H741,2)</f>
        <v>79.5</v>
      </c>
      <c r="K741" s="76">
        <f>ROUND(E741*I741,2)</f>
        <v>101.45</v>
      </c>
      <c r="L741" s="76"/>
      <c r="M741" s="76"/>
      <c r="N741" s="76"/>
      <c r="O741" s="51"/>
      <c r="R741" s="53">
        <v>15.9</v>
      </c>
    </row>
    <row r="742" spans="1:18" s="56" customFormat="1" ht="12" x14ac:dyDescent="0.2">
      <c r="A742" s="72"/>
      <c r="B742" s="81">
        <v>45299</v>
      </c>
      <c r="C742" s="71" t="s">
        <v>1187</v>
      </c>
      <c r="D742" s="72"/>
      <c r="E742" s="72"/>
      <c r="F742" s="72"/>
      <c r="G742" s="72"/>
      <c r="H742" s="75"/>
      <c r="I742" s="72"/>
      <c r="J742" s="72"/>
      <c r="K742" s="72"/>
      <c r="L742" s="72"/>
      <c r="M742" s="72"/>
      <c r="N742" s="72"/>
      <c r="O742" s="52"/>
      <c r="R742" s="52"/>
    </row>
    <row r="743" spans="1:18" s="56" customFormat="1" ht="12" x14ac:dyDescent="0.2">
      <c r="A743" s="73" t="s">
        <v>308</v>
      </c>
      <c r="B743" s="73" t="s">
        <v>1188</v>
      </c>
      <c r="C743" s="74" t="s">
        <v>1189</v>
      </c>
      <c r="D743" s="73" t="s">
        <v>102</v>
      </c>
      <c r="E743" s="75">
        <v>4</v>
      </c>
      <c r="F743" s="75"/>
      <c r="G743" s="75"/>
      <c r="H743" s="75">
        <f>ROUND(R743*$R$12,2)</f>
        <v>96</v>
      </c>
      <c r="I743" s="75">
        <f>ROUND(H743*(1+$S$1),2)</f>
        <v>122.49</v>
      </c>
      <c r="J743" s="76">
        <f>ROUND(E743*H743,2)</f>
        <v>384</v>
      </c>
      <c r="K743" s="76">
        <f>ROUND(E743*I743,2)</f>
        <v>489.96</v>
      </c>
      <c r="L743" s="76"/>
      <c r="M743" s="76"/>
      <c r="N743" s="76"/>
      <c r="O743" s="51"/>
      <c r="R743" s="53">
        <v>96</v>
      </c>
    </row>
    <row r="744" spans="1:18" s="56" customFormat="1" ht="12" x14ac:dyDescent="0.2">
      <c r="A744" s="72"/>
      <c r="B744" s="81">
        <v>45300</v>
      </c>
      <c r="C744" s="71" t="s">
        <v>1190</v>
      </c>
      <c r="D744" s="72"/>
      <c r="E744" s="72"/>
      <c r="F744" s="72"/>
      <c r="G744" s="72"/>
      <c r="H744" s="75"/>
      <c r="I744" s="72"/>
      <c r="J744" s="72"/>
      <c r="K744" s="72"/>
      <c r="L744" s="72"/>
      <c r="M744" s="72"/>
      <c r="N744" s="72"/>
      <c r="O744" s="52"/>
      <c r="R744" s="52"/>
    </row>
    <row r="745" spans="1:18" s="56" customFormat="1" ht="12" x14ac:dyDescent="0.2">
      <c r="A745" s="73" t="s">
        <v>308</v>
      </c>
      <c r="B745" s="73" t="s">
        <v>1191</v>
      </c>
      <c r="C745" s="74" t="s">
        <v>1192</v>
      </c>
      <c r="D745" s="73" t="s">
        <v>102</v>
      </c>
      <c r="E745" s="75">
        <v>1</v>
      </c>
      <c r="F745" s="75"/>
      <c r="G745" s="75"/>
      <c r="H745" s="75">
        <f>ROUND(R745*$R$12,2)</f>
        <v>28.29</v>
      </c>
      <c r="I745" s="75">
        <f>ROUND(H745*(1+$S$1),2)</f>
        <v>36.1</v>
      </c>
      <c r="J745" s="76">
        <f>ROUND(E745*H745,2)</f>
        <v>28.29</v>
      </c>
      <c r="K745" s="76">
        <f>ROUND(E745*I745,2)</f>
        <v>36.1</v>
      </c>
      <c r="L745" s="76"/>
      <c r="M745" s="76"/>
      <c r="N745" s="76"/>
      <c r="O745" s="51"/>
      <c r="R745" s="53">
        <v>28.29</v>
      </c>
    </row>
    <row r="746" spans="1:18" s="56" customFormat="1" ht="12" x14ac:dyDescent="0.2">
      <c r="A746" s="73" t="s">
        <v>308</v>
      </c>
      <c r="B746" s="73" t="s">
        <v>1193</v>
      </c>
      <c r="C746" s="74" t="s">
        <v>1194</v>
      </c>
      <c r="D746" s="73" t="s">
        <v>102</v>
      </c>
      <c r="E746" s="75">
        <v>2</v>
      </c>
      <c r="F746" s="75"/>
      <c r="G746" s="75"/>
      <c r="H746" s="75">
        <f>ROUND(R746*$R$12,2)</f>
        <v>21.93</v>
      </c>
      <c r="I746" s="75">
        <f>ROUND(H746*(1+$S$1),2)</f>
        <v>27.98</v>
      </c>
      <c r="J746" s="76">
        <f>ROUND(E746*H746,2)</f>
        <v>43.86</v>
      </c>
      <c r="K746" s="76">
        <f>ROUND(E746*I746,2)</f>
        <v>55.96</v>
      </c>
      <c r="L746" s="76"/>
      <c r="M746" s="76"/>
      <c r="N746" s="76"/>
      <c r="O746" s="51"/>
      <c r="R746" s="53">
        <v>21.93</v>
      </c>
    </row>
    <row r="747" spans="1:18" s="56" customFormat="1" ht="12" x14ac:dyDescent="0.2">
      <c r="A747" s="72"/>
      <c r="B747" s="70" t="s">
        <v>1195</v>
      </c>
      <c r="C747" s="71" t="s">
        <v>1196</v>
      </c>
      <c r="D747" s="72"/>
      <c r="E747" s="72"/>
      <c r="F747" s="72"/>
      <c r="G747" s="72"/>
      <c r="H747" s="75"/>
      <c r="I747" s="72"/>
      <c r="J747" s="72"/>
      <c r="K747" s="72"/>
      <c r="L747" s="72"/>
      <c r="M747" s="72"/>
      <c r="N747" s="72"/>
      <c r="O747" s="52"/>
      <c r="R747" s="52"/>
    </row>
    <row r="748" spans="1:18" s="56" customFormat="1" ht="12" x14ac:dyDescent="0.2">
      <c r="A748" s="72"/>
      <c r="B748" s="81">
        <v>45323</v>
      </c>
      <c r="C748" s="71" t="s">
        <v>1197</v>
      </c>
      <c r="D748" s="72"/>
      <c r="E748" s="72"/>
      <c r="F748" s="72"/>
      <c r="G748" s="72"/>
      <c r="H748" s="75"/>
      <c r="I748" s="72"/>
      <c r="J748" s="72"/>
      <c r="K748" s="72"/>
      <c r="L748" s="72"/>
      <c r="M748" s="72"/>
      <c r="N748" s="72"/>
      <c r="O748" s="52"/>
      <c r="R748" s="52"/>
    </row>
    <row r="749" spans="1:18" s="56" customFormat="1" ht="12" x14ac:dyDescent="0.2">
      <c r="A749" s="73" t="s">
        <v>308</v>
      </c>
      <c r="B749" s="73" t="s">
        <v>1198</v>
      </c>
      <c r="C749" s="74" t="s">
        <v>1199</v>
      </c>
      <c r="D749" s="73" t="s">
        <v>102</v>
      </c>
      <c r="E749" s="75">
        <v>2</v>
      </c>
      <c r="F749" s="75"/>
      <c r="G749" s="75"/>
      <c r="H749" s="75">
        <f>ROUND(R749*$R$12,2)</f>
        <v>14.99</v>
      </c>
      <c r="I749" s="75">
        <f>ROUND(H749*(1+$S$1),2)</f>
        <v>19.13</v>
      </c>
      <c r="J749" s="76">
        <f>ROUND(E749*H749,2)</f>
        <v>29.98</v>
      </c>
      <c r="K749" s="76">
        <f>ROUND(E749*I749,2)</f>
        <v>38.26</v>
      </c>
      <c r="L749" s="76"/>
      <c r="M749" s="76"/>
      <c r="N749" s="76"/>
      <c r="O749" s="51"/>
      <c r="R749" s="53">
        <v>14.99</v>
      </c>
    </row>
    <row r="750" spans="1:18" s="56" customFormat="1" ht="12" x14ac:dyDescent="0.2">
      <c r="A750" s="72"/>
      <c r="B750" s="81">
        <v>45324</v>
      </c>
      <c r="C750" s="71" t="s">
        <v>1200</v>
      </c>
      <c r="D750" s="72"/>
      <c r="E750" s="72"/>
      <c r="F750" s="72"/>
      <c r="G750" s="72"/>
      <c r="H750" s="75"/>
      <c r="I750" s="72"/>
      <c r="J750" s="72"/>
      <c r="K750" s="72"/>
      <c r="L750" s="72"/>
      <c r="M750" s="72"/>
      <c r="N750" s="72"/>
      <c r="O750" s="52"/>
      <c r="R750" s="52"/>
    </row>
    <row r="751" spans="1:18" s="56" customFormat="1" ht="12" x14ac:dyDescent="0.2">
      <c r="A751" s="73" t="s">
        <v>308</v>
      </c>
      <c r="B751" s="73" t="s">
        <v>1201</v>
      </c>
      <c r="C751" s="74" t="s">
        <v>1202</v>
      </c>
      <c r="D751" s="73" t="s">
        <v>102</v>
      </c>
      <c r="E751" s="75">
        <v>1</v>
      </c>
      <c r="F751" s="75"/>
      <c r="G751" s="75"/>
      <c r="H751" s="75">
        <f>ROUND(R751*$R$12,2)</f>
        <v>180</v>
      </c>
      <c r="I751" s="75">
        <f>ROUND(H751*(1+$S$1),2)</f>
        <v>229.66</v>
      </c>
      <c r="J751" s="76">
        <f>ROUND(E751*H751,2)</f>
        <v>180</v>
      </c>
      <c r="K751" s="76">
        <f>ROUND(E751*I751,2)</f>
        <v>229.66</v>
      </c>
      <c r="L751" s="76"/>
      <c r="M751" s="76"/>
      <c r="N751" s="76"/>
      <c r="O751" s="51"/>
      <c r="R751" s="53">
        <v>180</v>
      </c>
    </row>
    <row r="752" spans="1:18" s="56" customFormat="1" ht="12" x14ac:dyDescent="0.2">
      <c r="A752" s="73" t="s">
        <v>308</v>
      </c>
      <c r="B752" s="73" t="s">
        <v>1203</v>
      </c>
      <c r="C752" s="74" t="s">
        <v>1204</v>
      </c>
      <c r="D752" s="73" t="s">
        <v>102</v>
      </c>
      <c r="E752" s="75">
        <v>2</v>
      </c>
      <c r="F752" s="75"/>
      <c r="G752" s="75"/>
      <c r="H752" s="75">
        <f>ROUND(R752*$R$12,2)</f>
        <v>49.9</v>
      </c>
      <c r="I752" s="75">
        <f>ROUND(H752*(1+$S$1),2)</f>
        <v>63.67</v>
      </c>
      <c r="J752" s="76">
        <f>ROUND(E752*H752,2)</f>
        <v>99.8</v>
      </c>
      <c r="K752" s="76">
        <f>ROUND(E752*I752,2)</f>
        <v>127.34</v>
      </c>
      <c r="L752" s="76"/>
      <c r="M752" s="76"/>
      <c r="N752" s="76"/>
      <c r="O752" s="51"/>
      <c r="R752" s="53">
        <v>49.9</v>
      </c>
    </row>
    <row r="753" spans="1:18" s="56" customFormat="1" ht="12" x14ac:dyDescent="0.2">
      <c r="A753" s="72"/>
      <c r="B753" s="81">
        <v>45325</v>
      </c>
      <c r="C753" s="71" t="s">
        <v>1205</v>
      </c>
      <c r="D753" s="72"/>
      <c r="E753" s="72"/>
      <c r="F753" s="72"/>
      <c r="G753" s="72"/>
      <c r="H753" s="75"/>
      <c r="I753" s="72"/>
      <c r="J753" s="72"/>
      <c r="K753" s="72"/>
      <c r="L753" s="72"/>
      <c r="M753" s="72"/>
      <c r="N753" s="72"/>
      <c r="O753" s="52"/>
      <c r="R753" s="52"/>
    </row>
    <row r="754" spans="1:18" s="56" customFormat="1" ht="12" x14ac:dyDescent="0.2">
      <c r="A754" s="73" t="s">
        <v>308</v>
      </c>
      <c r="B754" s="73" t="s">
        <v>1206</v>
      </c>
      <c r="C754" s="74" t="s">
        <v>1207</v>
      </c>
      <c r="D754" s="73" t="s">
        <v>102</v>
      </c>
      <c r="E754" s="75">
        <v>2</v>
      </c>
      <c r="F754" s="75"/>
      <c r="G754" s="75"/>
      <c r="H754" s="75">
        <f>ROUND(R754*$R$12,2)</f>
        <v>49</v>
      </c>
      <c r="I754" s="75">
        <f>ROUND(H754*(1+$S$1),2)</f>
        <v>62.52</v>
      </c>
      <c r="J754" s="76">
        <f>ROUND(E754*H754,2)</f>
        <v>98</v>
      </c>
      <c r="K754" s="76">
        <f>ROUND(E754*I754,2)</f>
        <v>125.04</v>
      </c>
      <c r="L754" s="76"/>
      <c r="M754" s="76"/>
      <c r="N754" s="76"/>
      <c r="O754" s="51"/>
      <c r="R754" s="53">
        <v>49</v>
      </c>
    </row>
    <row r="755" spans="1:18" s="56" customFormat="1" ht="12" x14ac:dyDescent="0.2">
      <c r="A755" s="72"/>
      <c r="B755" s="81">
        <v>45325</v>
      </c>
      <c r="C755" s="71" t="s">
        <v>1208</v>
      </c>
      <c r="D755" s="72"/>
      <c r="E755" s="72"/>
      <c r="F755" s="72"/>
      <c r="G755" s="72"/>
      <c r="H755" s="75"/>
      <c r="I755" s="72"/>
      <c r="J755" s="72"/>
      <c r="K755" s="72"/>
      <c r="L755" s="72"/>
      <c r="M755" s="72"/>
      <c r="N755" s="72"/>
      <c r="O755" s="52"/>
      <c r="R755" s="52"/>
    </row>
    <row r="756" spans="1:18" s="56" customFormat="1" ht="24" x14ac:dyDescent="0.2">
      <c r="A756" s="73" t="s">
        <v>308</v>
      </c>
      <c r="B756" s="73" t="s">
        <v>1206</v>
      </c>
      <c r="C756" s="74" t="s">
        <v>1209</v>
      </c>
      <c r="D756" s="73" t="s">
        <v>102</v>
      </c>
      <c r="E756" s="75">
        <v>1</v>
      </c>
      <c r="F756" s="75"/>
      <c r="G756" s="75"/>
      <c r="H756" s="75">
        <f>ROUND(R756*$R$12,2)</f>
        <v>26.89</v>
      </c>
      <c r="I756" s="75">
        <f>ROUND(H756*(1+$S$1),2)</f>
        <v>34.31</v>
      </c>
      <c r="J756" s="76">
        <f>ROUND(E756*H756,2)</f>
        <v>26.89</v>
      </c>
      <c r="K756" s="76">
        <f>ROUND(E756*I756,2)</f>
        <v>34.31</v>
      </c>
      <c r="L756" s="76"/>
      <c r="M756" s="76"/>
      <c r="N756" s="76"/>
      <c r="O756" s="51"/>
      <c r="R756" s="53">
        <v>26.89</v>
      </c>
    </row>
    <row r="757" spans="1:18" s="56" customFormat="1" ht="12" x14ac:dyDescent="0.2">
      <c r="A757" s="72"/>
      <c r="B757" s="81">
        <v>45326</v>
      </c>
      <c r="C757" s="71" t="s">
        <v>1210</v>
      </c>
      <c r="D757" s="72"/>
      <c r="E757" s="72"/>
      <c r="F757" s="72"/>
      <c r="G757" s="72"/>
      <c r="H757" s="75"/>
      <c r="I757" s="72"/>
      <c r="J757" s="72"/>
      <c r="K757" s="72"/>
      <c r="L757" s="72"/>
      <c r="M757" s="72"/>
      <c r="N757" s="72"/>
      <c r="O757" s="52"/>
      <c r="R757" s="52"/>
    </row>
    <row r="758" spans="1:18" s="56" customFormat="1" ht="12" x14ac:dyDescent="0.2">
      <c r="A758" s="73" t="s">
        <v>308</v>
      </c>
      <c r="B758" s="73" t="s">
        <v>1211</v>
      </c>
      <c r="C758" s="74" t="s">
        <v>1212</v>
      </c>
      <c r="D758" s="73" t="s">
        <v>102</v>
      </c>
      <c r="E758" s="75">
        <v>6</v>
      </c>
      <c r="F758" s="75"/>
      <c r="G758" s="75"/>
      <c r="H758" s="75">
        <f>ROUND(R758*$R$12,2)</f>
        <v>0.17</v>
      </c>
      <c r="I758" s="75">
        <f>ROUND(H758*(1+$S$1),2)</f>
        <v>0.22</v>
      </c>
      <c r="J758" s="76">
        <f>ROUND(E758*H758,2)</f>
        <v>1.02</v>
      </c>
      <c r="K758" s="76">
        <f>ROUND(E758*I758,2)</f>
        <v>1.32</v>
      </c>
      <c r="L758" s="76"/>
      <c r="M758" s="76"/>
      <c r="N758" s="76"/>
      <c r="O758" s="51"/>
      <c r="R758" s="53">
        <v>0.17</v>
      </c>
    </row>
    <row r="759" spans="1:18" s="56" customFormat="1" ht="12" x14ac:dyDescent="0.2">
      <c r="A759" s="72"/>
      <c r="B759" s="71"/>
      <c r="C759" s="71"/>
      <c r="D759" s="71"/>
      <c r="E759" s="71"/>
      <c r="F759" s="71"/>
      <c r="G759" s="71"/>
      <c r="H759" s="75"/>
      <c r="I759" s="77" t="s">
        <v>1213</v>
      </c>
      <c r="J759" s="78">
        <f>SUM(J725:J758)</f>
        <v>2657.8</v>
      </c>
      <c r="K759" s="78">
        <f>SUM(K725:K758)</f>
        <v>3391.0899999999997</v>
      </c>
      <c r="L759" s="78"/>
      <c r="M759" s="78"/>
      <c r="N759" s="78"/>
      <c r="O759" s="60"/>
      <c r="R759" s="59"/>
    </row>
    <row r="760" spans="1:18" s="56" customFormat="1" ht="12" x14ac:dyDescent="0.2">
      <c r="A760" s="72"/>
      <c r="B760" s="70" t="s">
        <v>1214</v>
      </c>
      <c r="C760" s="71" t="s">
        <v>1215</v>
      </c>
      <c r="D760" s="72"/>
      <c r="E760" s="72"/>
      <c r="F760" s="72"/>
      <c r="G760" s="72"/>
      <c r="H760" s="75"/>
      <c r="I760" s="72"/>
      <c r="J760" s="72"/>
      <c r="K760" s="72"/>
      <c r="L760" s="72"/>
      <c r="M760" s="72"/>
      <c r="N760" s="72"/>
      <c r="O760" s="52"/>
      <c r="R760" s="52"/>
    </row>
    <row r="761" spans="1:18" s="56" customFormat="1" ht="12" x14ac:dyDescent="0.2">
      <c r="A761" s="72"/>
      <c r="B761" s="70" t="s">
        <v>1216</v>
      </c>
      <c r="C761" s="71" t="s">
        <v>1196</v>
      </c>
      <c r="D761" s="71"/>
      <c r="E761" s="71"/>
      <c r="F761" s="71"/>
      <c r="G761" s="71"/>
      <c r="H761" s="75"/>
      <c r="I761" s="71"/>
      <c r="J761" s="71"/>
      <c r="K761" s="72"/>
      <c r="L761" s="72"/>
      <c r="M761" s="72"/>
      <c r="N761" s="72"/>
      <c r="O761" s="52"/>
      <c r="R761" s="59"/>
    </row>
    <row r="762" spans="1:18" s="56" customFormat="1" ht="12" x14ac:dyDescent="0.2">
      <c r="A762" s="73" t="s">
        <v>78</v>
      </c>
      <c r="B762" s="80">
        <v>45658</v>
      </c>
      <c r="C762" s="74" t="s">
        <v>1217</v>
      </c>
      <c r="D762" s="73" t="s">
        <v>102</v>
      </c>
      <c r="E762" s="75">
        <v>8</v>
      </c>
      <c r="F762" s="75"/>
      <c r="G762" s="75"/>
      <c r="H762" s="75">
        <f t="shared" ref="H762:H774" si="140">ROUND(R762*$R$12,2)</f>
        <v>95.52</v>
      </c>
      <c r="I762" s="75">
        <f t="shared" ref="I762:I774" si="141">ROUND(H762*(1+$S$1),2)</f>
        <v>121.87</v>
      </c>
      <c r="J762" s="76">
        <f t="shared" ref="J762:J774" si="142">ROUND(E762*H762,2)</f>
        <v>764.16</v>
      </c>
      <c r="K762" s="76">
        <f t="shared" ref="K762:K774" si="143">ROUND(E762*I762,2)</f>
        <v>974.96</v>
      </c>
      <c r="L762" s="76"/>
      <c r="M762" s="76"/>
      <c r="N762" s="76"/>
      <c r="O762" s="51"/>
      <c r="R762" s="53">
        <v>95.52</v>
      </c>
    </row>
    <row r="763" spans="1:18" s="56" customFormat="1" ht="12" x14ac:dyDescent="0.2">
      <c r="A763" s="73" t="s">
        <v>308</v>
      </c>
      <c r="B763" s="80">
        <v>45659</v>
      </c>
      <c r="C763" s="74" t="s">
        <v>1218</v>
      </c>
      <c r="D763" s="73" t="s">
        <v>102</v>
      </c>
      <c r="E763" s="75">
        <v>8</v>
      </c>
      <c r="F763" s="75"/>
      <c r="G763" s="75"/>
      <c r="H763" s="75">
        <f t="shared" si="140"/>
        <v>9.93</v>
      </c>
      <c r="I763" s="75">
        <f t="shared" si="141"/>
        <v>12.67</v>
      </c>
      <c r="J763" s="76">
        <f t="shared" si="142"/>
        <v>79.44</v>
      </c>
      <c r="K763" s="76">
        <f t="shared" si="143"/>
        <v>101.36</v>
      </c>
      <c r="L763" s="76"/>
      <c r="M763" s="76"/>
      <c r="N763" s="76"/>
      <c r="O763" s="51"/>
      <c r="R763" s="53">
        <v>9.93</v>
      </c>
    </row>
    <row r="764" spans="1:18" s="56" customFormat="1" ht="24" x14ac:dyDescent="0.2">
      <c r="A764" s="73" t="s">
        <v>308</v>
      </c>
      <c r="B764" s="80">
        <v>45660</v>
      </c>
      <c r="C764" s="74" t="s">
        <v>1219</v>
      </c>
      <c r="D764" s="73" t="s">
        <v>102</v>
      </c>
      <c r="E764" s="75">
        <v>2</v>
      </c>
      <c r="F764" s="75"/>
      <c r="G764" s="75"/>
      <c r="H764" s="75">
        <f t="shared" si="140"/>
        <v>12.71</v>
      </c>
      <c r="I764" s="75">
        <f t="shared" si="141"/>
        <v>16.22</v>
      </c>
      <c r="J764" s="76">
        <f t="shared" si="142"/>
        <v>25.42</v>
      </c>
      <c r="K764" s="76">
        <f t="shared" si="143"/>
        <v>32.44</v>
      </c>
      <c r="L764" s="76"/>
      <c r="M764" s="76"/>
      <c r="N764" s="76"/>
      <c r="O764" s="51"/>
      <c r="R764" s="53">
        <v>12.71</v>
      </c>
    </row>
    <row r="765" spans="1:18" s="56" customFormat="1" ht="24" x14ac:dyDescent="0.2">
      <c r="A765" s="73" t="s">
        <v>308</v>
      </c>
      <c r="B765" s="80">
        <v>45661</v>
      </c>
      <c r="C765" s="74" t="s">
        <v>1220</v>
      </c>
      <c r="D765" s="73" t="s">
        <v>102</v>
      </c>
      <c r="E765" s="75">
        <v>5</v>
      </c>
      <c r="F765" s="75"/>
      <c r="G765" s="75"/>
      <c r="H765" s="75">
        <f t="shared" si="140"/>
        <v>150</v>
      </c>
      <c r="I765" s="75">
        <f t="shared" si="141"/>
        <v>191.39</v>
      </c>
      <c r="J765" s="76">
        <f t="shared" si="142"/>
        <v>750</v>
      </c>
      <c r="K765" s="76">
        <f t="shared" si="143"/>
        <v>956.95</v>
      </c>
      <c r="L765" s="76"/>
      <c r="M765" s="76"/>
      <c r="N765" s="76"/>
      <c r="O765" s="51"/>
      <c r="R765" s="53">
        <v>150</v>
      </c>
    </row>
    <row r="766" spans="1:18" s="56" customFormat="1" ht="24" x14ac:dyDescent="0.2">
      <c r="A766" s="73" t="s">
        <v>308</v>
      </c>
      <c r="B766" s="80">
        <v>45662</v>
      </c>
      <c r="C766" s="74" t="s">
        <v>1221</v>
      </c>
      <c r="D766" s="73" t="s">
        <v>102</v>
      </c>
      <c r="E766" s="75">
        <v>38</v>
      </c>
      <c r="F766" s="75"/>
      <c r="G766" s="75"/>
      <c r="H766" s="75">
        <f t="shared" si="140"/>
        <v>59.9</v>
      </c>
      <c r="I766" s="75">
        <f t="shared" si="141"/>
        <v>76.430000000000007</v>
      </c>
      <c r="J766" s="76">
        <f t="shared" si="142"/>
        <v>2276.1999999999998</v>
      </c>
      <c r="K766" s="76">
        <f t="shared" si="143"/>
        <v>2904.34</v>
      </c>
      <c r="L766" s="76"/>
      <c r="M766" s="76"/>
      <c r="N766" s="76"/>
      <c r="O766" s="51"/>
      <c r="R766" s="53">
        <v>59.9</v>
      </c>
    </row>
    <row r="767" spans="1:18" s="56" customFormat="1" ht="24" x14ac:dyDescent="0.2">
      <c r="A767" s="73" t="s">
        <v>308</v>
      </c>
      <c r="B767" s="80">
        <v>45663</v>
      </c>
      <c r="C767" s="74" t="s">
        <v>1222</v>
      </c>
      <c r="D767" s="73" t="s">
        <v>102</v>
      </c>
      <c r="E767" s="75">
        <v>2</v>
      </c>
      <c r="F767" s="75"/>
      <c r="G767" s="75"/>
      <c r="H767" s="75">
        <f t="shared" si="140"/>
        <v>219</v>
      </c>
      <c r="I767" s="75">
        <f t="shared" si="141"/>
        <v>279.42</v>
      </c>
      <c r="J767" s="76">
        <f t="shared" si="142"/>
        <v>438</v>
      </c>
      <c r="K767" s="76">
        <f t="shared" si="143"/>
        <v>558.84</v>
      </c>
      <c r="L767" s="76"/>
      <c r="M767" s="76"/>
      <c r="N767" s="76"/>
      <c r="O767" s="51"/>
      <c r="R767" s="53">
        <v>219</v>
      </c>
    </row>
    <row r="768" spans="1:18" s="56" customFormat="1" ht="12" x14ac:dyDescent="0.2">
      <c r="A768" s="73" t="s">
        <v>308</v>
      </c>
      <c r="B768" s="80">
        <v>45664</v>
      </c>
      <c r="C768" s="74" t="s">
        <v>1223</v>
      </c>
      <c r="D768" s="73" t="s">
        <v>102</v>
      </c>
      <c r="E768" s="75">
        <v>9</v>
      </c>
      <c r="F768" s="75"/>
      <c r="G768" s="75"/>
      <c r="H768" s="75">
        <f t="shared" si="140"/>
        <v>19.3</v>
      </c>
      <c r="I768" s="75">
        <f t="shared" si="141"/>
        <v>24.62</v>
      </c>
      <c r="J768" s="76">
        <f t="shared" si="142"/>
        <v>173.7</v>
      </c>
      <c r="K768" s="76">
        <f t="shared" si="143"/>
        <v>221.58</v>
      </c>
      <c r="L768" s="76"/>
      <c r="M768" s="76"/>
      <c r="N768" s="76"/>
      <c r="O768" s="51"/>
      <c r="R768" s="53">
        <v>19.3</v>
      </c>
    </row>
    <row r="769" spans="1:18" s="56" customFormat="1" ht="12" x14ac:dyDescent="0.2">
      <c r="A769" s="73" t="s">
        <v>308</v>
      </c>
      <c r="B769" s="80">
        <v>45665</v>
      </c>
      <c r="C769" s="74" t="s">
        <v>1224</v>
      </c>
      <c r="D769" s="73" t="s">
        <v>102</v>
      </c>
      <c r="E769" s="75">
        <v>8</v>
      </c>
      <c r="F769" s="75"/>
      <c r="G769" s="75"/>
      <c r="H769" s="75">
        <f t="shared" si="140"/>
        <v>19.3</v>
      </c>
      <c r="I769" s="75">
        <f t="shared" si="141"/>
        <v>24.62</v>
      </c>
      <c r="J769" s="76">
        <f t="shared" si="142"/>
        <v>154.4</v>
      </c>
      <c r="K769" s="76">
        <f t="shared" si="143"/>
        <v>196.96</v>
      </c>
      <c r="L769" s="76"/>
      <c r="M769" s="76"/>
      <c r="N769" s="76"/>
      <c r="O769" s="51"/>
      <c r="R769" s="53">
        <v>19.3</v>
      </c>
    </row>
    <row r="770" spans="1:18" s="56" customFormat="1" ht="12" x14ac:dyDescent="0.2">
      <c r="A770" s="73" t="s">
        <v>308</v>
      </c>
      <c r="B770" s="80">
        <v>45666</v>
      </c>
      <c r="C770" s="74" t="s">
        <v>1225</v>
      </c>
      <c r="D770" s="73" t="s">
        <v>102</v>
      </c>
      <c r="E770" s="75">
        <v>8</v>
      </c>
      <c r="F770" s="75"/>
      <c r="G770" s="75"/>
      <c r="H770" s="75">
        <f t="shared" si="140"/>
        <v>9.9</v>
      </c>
      <c r="I770" s="75">
        <f t="shared" si="141"/>
        <v>12.63</v>
      </c>
      <c r="J770" s="76">
        <f t="shared" si="142"/>
        <v>79.2</v>
      </c>
      <c r="K770" s="76">
        <f t="shared" si="143"/>
        <v>101.04</v>
      </c>
      <c r="L770" s="76"/>
      <c r="M770" s="76"/>
      <c r="N770" s="76"/>
      <c r="O770" s="51"/>
      <c r="R770" s="53">
        <v>9.9</v>
      </c>
    </row>
    <row r="771" spans="1:18" s="56" customFormat="1" ht="12" x14ac:dyDescent="0.2">
      <c r="A771" s="73" t="s">
        <v>308</v>
      </c>
      <c r="B771" s="87">
        <v>40203</v>
      </c>
      <c r="C771" s="74" t="s">
        <v>1226</v>
      </c>
      <c r="D771" s="73" t="s">
        <v>102</v>
      </c>
      <c r="E771" s="75">
        <v>1</v>
      </c>
      <c r="F771" s="75"/>
      <c r="G771" s="75"/>
      <c r="H771" s="75">
        <f t="shared" si="140"/>
        <v>11.57</v>
      </c>
      <c r="I771" s="75">
        <f t="shared" si="141"/>
        <v>14.76</v>
      </c>
      <c r="J771" s="76">
        <f t="shared" si="142"/>
        <v>11.57</v>
      </c>
      <c r="K771" s="76">
        <f t="shared" si="143"/>
        <v>14.76</v>
      </c>
      <c r="L771" s="76"/>
      <c r="M771" s="76"/>
      <c r="N771" s="76"/>
      <c r="O771" s="51"/>
      <c r="R771" s="53">
        <v>11.57</v>
      </c>
    </row>
    <row r="772" spans="1:18" s="56" customFormat="1" ht="12" x14ac:dyDescent="0.2">
      <c r="A772" s="94">
        <v>38061</v>
      </c>
      <c r="B772" s="87">
        <v>40568</v>
      </c>
      <c r="C772" s="74" t="s">
        <v>1227</v>
      </c>
      <c r="D772" s="73" t="s">
        <v>102</v>
      </c>
      <c r="E772" s="75">
        <v>1</v>
      </c>
      <c r="F772" s="75"/>
      <c r="G772" s="75"/>
      <c r="H772" s="75">
        <f t="shared" si="140"/>
        <v>39.15</v>
      </c>
      <c r="I772" s="75">
        <f t="shared" si="141"/>
        <v>49.95</v>
      </c>
      <c r="J772" s="76">
        <f t="shared" si="142"/>
        <v>39.15</v>
      </c>
      <c r="K772" s="76">
        <f t="shared" si="143"/>
        <v>49.95</v>
      </c>
      <c r="L772" s="76"/>
      <c r="M772" s="76"/>
      <c r="N772" s="76"/>
      <c r="O772" s="51"/>
      <c r="R772" s="53">
        <v>39.15</v>
      </c>
    </row>
    <row r="773" spans="1:18" s="56" customFormat="1" ht="12" x14ac:dyDescent="0.2">
      <c r="A773" s="94">
        <v>38061</v>
      </c>
      <c r="B773" s="87">
        <v>40933</v>
      </c>
      <c r="C773" s="74" t="s">
        <v>1228</v>
      </c>
      <c r="D773" s="73" t="s">
        <v>102</v>
      </c>
      <c r="E773" s="75">
        <v>1</v>
      </c>
      <c r="F773" s="75"/>
      <c r="G773" s="75"/>
      <c r="H773" s="75">
        <f t="shared" si="140"/>
        <v>39.15</v>
      </c>
      <c r="I773" s="75">
        <f t="shared" si="141"/>
        <v>49.95</v>
      </c>
      <c r="J773" s="76">
        <f t="shared" si="142"/>
        <v>39.15</v>
      </c>
      <c r="K773" s="76">
        <f t="shared" si="143"/>
        <v>49.95</v>
      </c>
      <c r="L773" s="76"/>
      <c r="M773" s="76"/>
      <c r="N773" s="76"/>
      <c r="O773" s="51"/>
      <c r="R773" s="53">
        <v>39.15</v>
      </c>
    </row>
    <row r="774" spans="1:18" s="56" customFormat="1" ht="24" x14ac:dyDescent="0.2">
      <c r="A774" s="94">
        <v>38061</v>
      </c>
      <c r="B774" s="87">
        <v>41299</v>
      </c>
      <c r="C774" s="74" t="s">
        <v>1229</v>
      </c>
      <c r="D774" s="73" t="s">
        <v>102</v>
      </c>
      <c r="E774" s="75">
        <v>8</v>
      </c>
      <c r="F774" s="75"/>
      <c r="G774" s="75"/>
      <c r="H774" s="75">
        <f t="shared" si="140"/>
        <v>39.15</v>
      </c>
      <c r="I774" s="75">
        <f t="shared" si="141"/>
        <v>49.95</v>
      </c>
      <c r="J774" s="76">
        <f t="shared" si="142"/>
        <v>313.2</v>
      </c>
      <c r="K774" s="76">
        <f t="shared" si="143"/>
        <v>399.6</v>
      </c>
      <c r="L774" s="76"/>
      <c r="M774" s="76"/>
      <c r="N774" s="76"/>
      <c r="O774" s="51"/>
      <c r="R774" s="53">
        <v>39.15</v>
      </c>
    </row>
    <row r="775" spans="1:18" s="56" customFormat="1" ht="12" x14ac:dyDescent="0.2">
      <c r="A775" s="72"/>
      <c r="B775" s="71"/>
      <c r="C775" s="71"/>
      <c r="D775" s="71"/>
      <c r="E775" s="71"/>
      <c r="F775" s="71"/>
      <c r="G775" s="71"/>
      <c r="H775" s="75"/>
      <c r="I775" s="77" t="s">
        <v>1230</v>
      </c>
      <c r="J775" s="78">
        <f>SUM(J762:J774)</f>
        <v>5143.5899999999974</v>
      </c>
      <c r="K775" s="78">
        <f>SUM(K762:K774)</f>
        <v>6562.7300000000005</v>
      </c>
      <c r="L775" s="78"/>
      <c r="M775" s="78"/>
      <c r="N775" s="78"/>
      <c r="O775" s="60"/>
      <c r="R775" s="59"/>
    </row>
    <row r="776" spans="1:18" s="56" customFormat="1" ht="12" x14ac:dyDescent="0.2">
      <c r="A776" s="72"/>
      <c r="B776" s="82"/>
      <c r="C776" s="82"/>
      <c r="D776" s="82"/>
      <c r="E776" s="82"/>
      <c r="F776" s="82"/>
      <c r="G776" s="82"/>
      <c r="H776" s="75"/>
      <c r="I776" s="82"/>
      <c r="J776" s="82"/>
      <c r="K776" s="72"/>
      <c r="L776" s="72"/>
      <c r="M776" s="72"/>
      <c r="N776" s="72"/>
      <c r="O776" s="52"/>
      <c r="R776" s="61"/>
    </row>
    <row r="777" spans="1:18" s="56" customFormat="1" ht="12" x14ac:dyDescent="0.2">
      <c r="A777" s="72"/>
      <c r="B777" s="70" t="s">
        <v>1231</v>
      </c>
      <c r="C777" s="71" t="s">
        <v>1232</v>
      </c>
      <c r="D777" s="72"/>
      <c r="E777" s="72"/>
      <c r="F777" s="72"/>
      <c r="G777" s="72"/>
      <c r="H777" s="75"/>
      <c r="I777" s="72"/>
      <c r="J777" s="72"/>
      <c r="K777" s="72"/>
      <c r="L777" s="72"/>
      <c r="M777" s="72"/>
      <c r="N777" s="72"/>
      <c r="O777" s="52"/>
      <c r="R777" s="52"/>
    </row>
    <row r="778" spans="1:18" s="56" customFormat="1" ht="12" x14ac:dyDescent="0.2">
      <c r="A778" s="94">
        <v>9537</v>
      </c>
      <c r="B778" s="73" t="s">
        <v>1233</v>
      </c>
      <c r="C778" s="74" t="s">
        <v>1234</v>
      </c>
      <c r="D778" s="73" t="s">
        <v>14</v>
      </c>
      <c r="E778" s="76">
        <v>1118.48</v>
      </c>
      <c r="F778" s="76"/>
      <c r="G778" s="76"/>
      <c r="H778" s="75">
        <f>ROUND(R778*$R$12,2)</f>
        <v>1.89</v>
      </c>
      <c r="I778" s="75">
        <f>ROUND(H778*(1+$S$1),2)</f>
        <v>2.41</v>
      </c>
      <c r="J778" s="76">
        <f>ROUND(E778*H778,2)</f>
        <v>2113.9299999999998</v>
      </c>
      <c r="K778" s="76">
        <f>ROUND(E778*I778,2)</f>
        <v>2695.54</v>
      </c>
      <c r="L778" s="76"/>
      <c r="M778" s="76"/>
      <c r="N778" s="76"/>
      <c r="O778" s="51"/>
      <c r="R778" s="53">
        <v>1.89</v>
      </c>
    </row>
    <row r="779" spans="1:18" s="56" customFormat="1" ht="12" x14ac:dyDescent="0.2">
      <c r="A779" s="72"/>
      <c r="B779" s="71"/>
      <c r="C779" s="71"/>
      <c r="D779" s="71"/>
      <c r="E779" s="71"/>
      <c r="F779" s="71"/>
      <c r="G779" s="71"/>
      <c r="H779" s="75"/>
      <c r="I779" s="77" t="s">
        <v>1235</v>
      </c>
      <c r="J779" s="78">
        <f>SUM(J778)</f>
        <v>2113.9299999999998</v>
      </c>
      <c r="K779" s="78">
        <f>SUM(K778)</f>
        <v>2695.54</v>
      </c>
      <c r="L779" s="78"/>
      <c r="M779" s="78"/>
      <c r="N779" s="78"/>
      <c r="O779" s="60"/>
      <c r="P779" s="58"/>
      <c r="R779" s="59"/>
    </row>
    <row r="780" spans="1:18" s="56" customFormat="1" ht="12" x14ac:dyDescent="0.2">
      <c r="A780" s="72"/>
      <c r="B780" s="82"/>
      <c r="C780" s="82"/>
      <c r="D780" s="82"/>
      <c r="E780" s="82"/>
      <c r="F780" s="82"/>
      <c r="G780" s="82"/>
      <c r="H780" s="75"/>
      <c r="I780" s="82"/>
      <c r="J780" s="82"/>
      <c r="K780" s="72"/>
      <c r="L780" s="72"/>
      <c r="M780" s="72"/>
      <c r="N780" s="72"/>
      <c r="O780" s="52"/>
      <c r="R780" s="61"/>
    </row>
    <row r="781" spans="1:18" s="56" customFormat="1" ht="12" x14ac:dyDescent="0.2">
      <c r="A781" s="72"/>
      <c r="B781" s="70" t="s">
        <v>1236</v>
      </c>
      <c r="C781" s="71" t="s">
        <v>1237</v>
      </c>
      <c r="D781" s="72"/>
      <c r="E781" s="72"/>
      <c r="F781" s="72"/>
      <c r="G781" s="72"/>
      <c r="H781" s="75"/>
      <c r="I781" s="72"/>
      <c r="J781" s="72"/>
      <c r="K781" s="72"/>
      <c r="L781" s="72"/>
      <c r="M781" s="72"/>
      <c r="N781" s="72"/>
      <c r="O781" s="52"/>
      <c r="R781" s="52"/>
    </row>
    <row r="782" spans="1:18" s="56" customFormat="1" ht="12" x14ac:dyDescent="0.2">
      <c r="A782" s="72"/>
      <c r="B782" s="70" t="s">
        <v>1238</v>
      </c>
      <c r="C782" s="71" t="s">
        <v>1239</v>
      </c>
      <c r="D782" s="72"/>
      <c r="E782" s="72"/>
      <c r="F782" s="72"/>
      <c r="G782" s="72"/>
      <c r="H782" s="75"/>
      <c r="I782" s="72"/>
      <c r="J782" s="72"/>
      <c r="K782" s="72"/>
      <c r="L782" s="72"/>
      <c r="M782" s="72"/>
      <c r="N782" s="72"/>
      <c r="O782" s="52"/>
      <c r="R782" s="52"/>
    </row>
    <row r="783" spans="1:18" s="56" customFormat="1" ht="24" x14ac:dyDescent="0.2">
      <c r="A783" s="94">
        <v>96523</v>
      </c>
      <c r="B783" s="80">
        <v>46388</v>
      </c>
      <c r="C783" s="74" t="s">
        <v>1240</v>
      </c>
      <c r="D783" s="73" t="s">
        <v>14</v>
      </c>
      <c r="E783" s="75">
        <v>43.47</v>
      </c>
      <c r="F783" s="75">
        <v>43.47</v>
      </c>
      <c r="G783" s="75">
        <f>F783</f>
        <v>43.47</v>
      </c>
      <c r="H783" s="75">
        <f t="shared" ref="H783:H795" si="144">ROUND(R783*$R$12,2)</f>
        <v>59.37</v>
      </c>
      <c r="I783" s="75">
        <f t="shared" ref="I783:I795" si="145">ROUND(H783*(1+$S$1),2)</f>
        <v>75.75</v>
      </c>
      <c r="J783" s="76">
        <f t="shared" ref="J783:J795" si="146">ROUND(E783*H783,2)</f>
        <v>2580.81</v>
      </c>
      <c r="K783" s="76">
        <f t="shared" ref="K783:K795" si="147">ROUND(E783*I783,2)</f>
        <v>3292.85</v>
      </c>
      <c r="L783" s="76">
        <f t="shared" ref="L783:L795" si="148">F783*I783</f>
        <v>3292.8525</v>
      </c>
      <c r="M783" s="76">
        <f t="shared" ref="M783:M795" si="149">G783*I783</f>
        <v>3292.8525</v>
      </c>
      <c r="N783" s="90">
        <f t="shared" ref="N783:N795" si="150">M783/K783</f>
        <v>1.0000007592207358</v>
      </c>
      <c r="O783" s="51"/>
      <c r="R783" s="53">
        <v>59.37</v>
      </c>
    </row>
    <row r="784" spans="1:18" s="56" customFormat="1" ht="24" x14ac:dyDescent="0.2">
      <c r="A784" s="94">
        <v>96616</v>
      </c>
      <c r="B784" s="80">
        <v>46389</v>
      </c>
      <c r="C784" s="74" t="s">
        <v>1241</v>
      </c>
      <c r="D784" s="69" t="s">
        <v>171</v>
      </c>
      <c r="E784" s="75">
        <v>2.0699999999999998</v>
      </c>
      <c r="F784" s="75">
        <v>2.0699999999999998</v>
      </c>
      <c r="G784" s="75">
        <f t="shared" ref="G784:G795" si="151">F784</f>
        <v>2.0699999999999998</v>
      </c>
      <c r="H784" s="75">
        <f t="shared" si="144"/>
        <v>395.1</v>
      </c>
      <c r="I784" s="75">
        <f t="shared" si="145"/>
        <v>504.11</v>
      </c>
      <c r="J784" s="76">
        <f t="shared" si="146"/>
        <v>817.86</v>
      </c>
      <c r="K784" s="76">
        <f t="shared" si="147"/>
        <v>1043.51</v>
      </c>
      <c r="L784" s="76">
        <f t="shared" si="148"/>
        <v>1043.5076999999999</v>
      </c>
      <c r="M784" s="76">
        <f t="shared" si="149"/>
        <v>1043.5076999999999</v>
      </c>
      <c r="N784" s="90">
        <f t="shared" si="150"/>
        <v>0.99999779590037463</v>
      </c>
      <c r="O784" s="51"/>
      <c r="R784" s="53">
        <v>395.1</v>
      </c>
    </row>
    <row r="785" spans="1:18" s="56" customFormat="1" ht="24" x14ac:dyDescent="0.2">
      <c r="A785" s="94">
        <v>95592</v>
      </c>
      <c r="B785" s="80">
        <v>46390</v>
      </c>
      <c r="C785" s="74" t="s">
        <v>1242</v>
      </c>
      <c r="D785" s="73" t="s">
        <v>35</v>
      </c>
      <c r="E785" s="76">
        <v>1051.68</v>
      </c>
      <c r="F785" s="76">
        <v>614.37</v>
      </c>
      <c r="G785" s="75">
        <f t="shared" si="151"/>
        <v>614.37</v>
      </c>
      <c r="H785" s="75">
        <f t="shared" si="144"/>
        <v>12.22</v>
      </c>
      <c r="I785" s="75">
        <f t="shared" si="145"/>
        <v>15.59</v>
      </c>
      <c r="J785" s="76">
        <f t="shared" si="146"/>
        <v>12851.53</v>
      </c>
      <c r="K785" s="76">
        <f t="shared" si="147"/>
        <v>16395.689999999999</v>
      </c>
      <c r="L785" s="76">
        <f t="shared" si="148"/>
        <v>9578.0282999999999</v>
      </c>
      <c r="M785" s="76">
        <f t="shared" si="149"/>
        <v>9578.0282999999999</v>
      </c>
      <c r="N785" s="90">
        <f t="shared" si="150"/>
        <v>0.58417964111299991</v>
      </c>
      <c r="O785" s="51"/>
      <c r="R785" s="53">
        <v>12.22</v>
      </c>
    </row>
    <row r="786" spans="1:18" s="56" customFormat="1" ht="24" x14ac:dyDescent="0.2">
      <c r="A786" s="94">
        <v>95585</v>
      </c>
      <c r="B786" s="80">
        <v>46391</v>
      </c>
      <c r="C786" s="74" t="s">
        <v>1243</v>
      </c>
      <c r="D786" s="73" t="s">
        <v>35</v>
      </c>
      <c r="E786" s="75">
        <v>1956.11</v>
      </c>
      <c r="F786" s="75">
        <v>1813.76</v>
      </c>
      <c r="G786" s="75">
        <f t="shared" si="151"/>
        <v>1813.76</v>
      </c>
      <c r="H786" s="75">
        <f t="shared" si="144"/>
        <v>7.67</v>
      </c>
      <c r="I786" s="75">
        <f t="shared" si="145"/>
        <v>9.7899999999999991</v>
      </c>
      <c r="J786" s="76">
        <f t="shared" si="146"/>
        <v>15003.36</v>
      </c>
      <c r="K786" s="76">
        <f t="shared" si="147"/>
        <v>19150.32</v>
      </c>
      <c r="L786" s="76">
        <f t="shared" si="148"/>
        <v>17756.7104</v>
      </c>
      <c r="M786" s="76">
        <f t="shared" si="149"/>
        <v>17756.7104</v>
      </c>
      <c r="N786" s="90">
        <f t="shared" si="150"/>
        <v>0.92722786877712748</v>
      </c>
      <c r="O786" s="51"/>
      <c r="R786" s="53">
        <v>7.67</v>
      </c>
    </row>
    <row r="787" spans="1:18" s="56" customFormat="1" ht="13.5" x14ac:dyDescent="0.2">
      <c r="A787" s="94">
        <v>94965</v>
      </c>
      <c r="B787" s="80">
        <v>46392</v>
      </c>
      <c r="C787" s="74" t="s">
        <v>1244</v>
      </c>
      <c r="D787" s="69" t="s">
        <v>171</v>
      </c>
      <c r="E787" s="75">
        <v>26.73</v>
      </c>
      <c r="F787" s="75">
        <v>24.79</v>
      </c>
      <c r="G787" s="75">
        <f t="shared" si="151"/>
        <v>24.79</v>
      </c>
      <c r="H787" s="75">
        <f t="shared" si="144"/>
        <v>302.64</v>
      </c>
      <c r="I787" s="75">
        <f t="shared" si="145"/>
        <v>386.14</v>
      </c>
      <c r="J787" s="76">
        <f t="shared" si="146"/>
        <v>8089.57</v>
      </c>
      <c r="K787" s="76">
        <f t="shared" si="147"/>
        <v>10321.52</v>
      </c>
      <c r="L787" s="76">
        <f t="shared" si="148"/>
        <v>9572.4105999999992</v>
      </c>
      <c r="M787" s="76">
        <f t="shared" si="149"/>
        <v>9572.4105999999992</v>
      </c>
      <c r="N787" s="90">
        <f t="shared" si="150"/>
        <v>0.92742256954402058</v>
      </c>
      <c r="O787" s="51"/>
      <c r="R787" s="53">
        <v>302.64</v>
      </c>
    </row>
    <row r="788" spans="1:18" s="56" customFormat="1" ht="24" x14ac:dyDescent="0.2">
      <c r="A788" s="94">
        <v>92873</v>
      </c>
      <c r="B788" s="80">
        <v>46393</v>
      </c>
      <c r="C788" s="74" t="s">
        <v>1245</v>
      </c>
      <c r="D788" s="69" t="s">
        <v>171</v>
      </c>
      <c r="E788" s="75">
        <v>26.73</v>
      </c>
      <c r="F788" s="75">
        <v>24.79</v>
      </c>
      <c r="G788" s="75">
        <f t="shared" si="151"/>
        <v>24.79</v>
      </c>
      <c r="H788" s="75">
        <f t="shared" si="144"/>
        <v>135.94</v>
      </c>
      <c r="I788" s="75">
        <f t="shared" si="145"/>
        <v>173.45</v>
      </c>
      <c r="J788" s="76">
        <f t="shared" si="146"/>
        <v>3633.68</v>
      </c>
      <c r="K788" s="76">
        <f t="shared" si="147"/>
        <v>4636.32</v>
      </c>
      <c r="L788" s="76">
        <f t="shared" si="148"/>
        <v>4299.8254999999999</v>
      </c>
      <c r="M788" s="76">
        <f t="shared" si="149"/>
        <v>4299.8254999999999</v>
      </c>
      <c r="N788" s="90">
        <f t="shared" si="150"/>
        <v>0.9274220718155779</v>
      </c>
      <c r="O788" s="51"/>
      <c r="R788" s="53">
        <v>135.94</v>
      </c>
    </row>
    <row r="789" spans="1:18" s="56" customFormat="1" ht="13.5" x14ac:dyDescent="0.2">
      <c r="A789" s="94">
        <v>96995</v>
      </c>
      <c r="B789" s="80">
        <v>46394</v>
      </c>
      <c r="C789" s="74" t="s">
        <v>1246</v>
      </c>
      <c r="D789" s="69" t="s">
        <v>171</v>
      </c>
      <c r="E789" s="89">
        <v>41.112499999999997</v>
      </c>
      <c r="F789" s="75">
        <v>38.25</v>
      </c>
      <c r="G789" s="75">
        <f t="shared" si="151"/>
        <v>38.25</v>
      </c>
      <c r="H789" s="75">
        <f t="shared" si="144"/>
        <v>29.88</v>
      </c>
      <c r="I789" s="75">
        <f t="shared" si="145"/>
        <v>38.119999999999997</v>
      </c>
      <c r="J789" s="76">
        <f t="shared" si="146"/>
        <v>1228.44</v>
      </c>
      <c r="K789" s="76">
        <f t="shared" si="147"/>
        <v>1567.21</v>
      </c>
      <c r="L789" s="76">
        <f t="shared" si="148"/>
        <v>1458.09</v>
      </c>
      <c r="M789" s="76">
        <f t="shared" si="149"/>
        <v>1458.09</v>
      </c>
      <c r="N789" s="90">
        <f t="shared" si="150"/>
        <v>0.93037308337746694</v>
      </c>
      <c r="O789" s="51"/>
      <c r="R789" s="53">
        <v>29.88</v>
      </c>
    </row>
    <row r="790" spans="1:18" s="56" customFormat="1" ht="24" x14ac:dyDescent="0.2">
      <c r="A790" s="94">
        <v>68054</v>
      </c>
      <c r="B790" s="80">
        <v>46395</v>
      </c>
      <c r="C790" s="74" t="s">
        <v>1247</v>
      </c>
      <c r="D790" s="73" t="s">
        <v>14</v>
      </c>
      <c r="E790" s="75">
        <v>15.5</v>
      </c>
      <c r="F790" s="75"/>
      <c r="G790" s="75">
        <f t="shared" si="151"/>
        <v>0</v>
      </c>
      <c r="H790" s="75">
        <f t="shared" si="144"/>
        <v>181.93</v>
      </c>
      <c r="I790" s="75">
        <f t="shared" si="145"/>
        <v>232.12</v>
      </c>
      <c r="J790" s="76">
        <f t="shared" si="146"/>
        <v>2819.92</v>
      </c>
      <c r="K790" s="76">
        <f t="shared" si="147"/>
        <v>3597.86</v>
      </c>
      <c r="L790" s="76">
        <f t="shared" si="148"/>
        <v>0</v>
      </c>
      <c r="M790" s="76">
        <f t="shared" si="149"/>
        <v>0</v>
      </c>
      <c r="N790" s="90">
        <f t="shared" si="150"/>
        <v>0</v>
      </c>
      <c r="O790" s="51"/>
      <c r="R790" s="53">
        <v>181.93</v>
      </c>
    </row>
    <row r="791" spans="1:18" s="56" customFormat="1" ht="60" x14ac:dyDescent="0.2">
      <c r="A791" s="94">
        <v>87478</v>
      </c>
      <c r="B791" s="80">
        <v>46396</v>
      </c>
      <c r="C791" s="74" t="s">
        <v>1248</v>
      </c>
      <c r="D791" s="73" t="s">
        <v>14</v>
      </c>
      <c r="E791" s="75">
        <v>569.25</v>
      </c>
      <c r="F791" s="75">
        <v>471.25</v>
      </c>
      <c r="G791" s="75">
        <f t="shared" si="151"/>
        <v>471.25</v>
      </c>
      <c r="H791" s="75">
        <f t="shared" si="144"/>
        <v>30.11</v>
      </c>
      <c r="I791" s="75">
        <f t="shared" si="145"/>
        <v>38.42</v>
      </c>
      <c r="J791" s="76">
        <f t="shared" si="146"/>
        <v>17140.12</v>
      </c>
      <c r="K791" s="76">
        <f t="shared" si="147"/>
        <v>21870.59</v>
      </c>
      <c r="L791" s="76">
        <f t="shared" si="148"/>
        <v>18105.424999999999</v>
      </c>
      <c r="M791" s="76">
        <f t="shared" si="149"/>
        <v>18105.424999999999</v>
      </c>
      <c r="N791" s="90">
        <f t="shared" si="150"/>
        <v>0.82784346467104908</v>
      </c>
      <c r="O791" s="51"/>
      <c r="R791" s="53">
        <v>30.11</v>
      </c>
    </row>
    <row r="792" spans="1:18" s="56" customFormat="1" ht="24" x14ac:dyDescent="0.2">
      <c r="A792" s="73" t="s">
        <v>1249</v>
      </c>
      <c r="B792" s="87">
        <v>40205</v>
      </c>
      <c r="C792" s="74" t="s">
        <v>1250</v>
      </c>
      <c r="D792" s="73" t="s">
        <v>14</v>
      </c>
      <c r="E792" s="75">
        <v>65.25</v>
      </c>
      <c r="F792" s="75"/>
      <c r="G792" s="75">
        <f t="shared" si="151"/>
        <v>0</v>
      </c>
      <c r="H792" s="75">
        <f t="shared" si="144"/>
        <v>76.17</v>
      </c>
      <c r="I792" s="75">
        <f t="shared" si="145"/>
        <v>97.19</v>
      </c>
      <c r="J792" s="76">
        <f t="shared" si="146"/>
        <v>4970.09</v>
      </c>
      <c r="K792" s="76">
        <f t="shared" si="147"/>
        <v>6341.65</v>
      </c>
      <c r="L792" s="76">
        <f t="shared" si="148"/>
        <v>0</v>
      </c>
      <c r="M792" s="76">
        <f t="shared" si="149"/>
        <v>0</v>
      </c>
      <c r="N792" s="90">
        <f t="shared" si="150"/>
        <v>0</v>
      </c>
      <c r="O792" s="51"/>
      <c r="R792" s="53">
        <v>76.17</v>
      </c>
    </row>
    <row r="793" spans="1:18" s="56" customFormat="1" ht="36" x14ac:dyDescent="0.2">
      <c r="A793" s="94">
        <v>87878</v>
      </c>
      <c r="B793" s="87">
        <v>40570</v>
      </c>
      <c r="C793" s="74" t="s">
        <v>1251</v>
      </c>
      <c r="D793" s="73" t="s">
        <v>14</v>
      </c>
      <c r="E793" s="75">
        <v>1138.5</v>
      </c>
      <c r="F793" s="75">
        <v>623.1</v>
      </c>
      <c r="G793" s="75">
        <f t="shared" si="151"/>
        <v>623.1</v>
      </c>
      <c r="H793" s="75">
        <f t="shared" si="144"/>
        <v>2.97</v>
      </c>
      <c r="I793" s="75">
        <f t="shared" si="145"/>
        <v>3.79</v>
      </c>
      <c r="J793" s="76">
        <f t="shared" si="146"/>
        <v>3381.35</v>
      </c>
      <c r="K793" s="76">
        <f t="shared" si="147"/>
        <v>4314.92</v>
      </c>
      <c r="L793" s="76">
        <f t="shared" si="148"/>
        <v>2361.549</v>
      </c>
      <c r="M793" s="76">
        <f t="shared" si="149"/>
        <v>2361.549</v>
      </c>
      <c r="N793" s="90">
        <f t="shared" si="150"/>
        <v>0.54729844354008883</v>
      </c>
      <c r="O793" s="51"/>
      <c r="R793" s="53">
        <v>2.97</v>
      </c>
    </row>
    <row r="794" spans="1:18" s="56" customFormat="1" ht="12" x14ac:dyDescent="0.2">
      <c r="A794" s="73" t="s">
        <v>229</v>
      </c>
      <c r="B794" s="87">
        <v>40935</v>
      </c>
      <c r="C794" s="74" t="s">
        <v>1252</v>
      </c>
      <c r="D794" s="73" t="s">
        <v>14</v>
      </c>
      <c r="E794" s="75">
        <v>1138.5</v>
      </c>
      <c r="F794" s="75">
        <v>519.25</v>
      </c>
      <c r="G794" s="75">
        <f t="shared" si="151"/>
        <v>519.25</v>
      </c>
      <c r="H794" s="75">
        <f t="shared" si="144"/>
        <v>21.63</v>
      </c>
      <c r="I794" s="75">
        <f t="shared" si="145"/>
        <v>27.6</v>
      </c>
      <c r="J794" s="76">
        <f t="shared" si="146"/>
        <v>24625.759999999998</v>
      </c>
      <c r="K794" s="76">
        <f t="shared" si="147"/>
        <v>31422.6</v>
      </c>
      <c r="L794" s="76">
        <f t="shared" si="148"/>
        <v>14331.300000000001</v>
      </c>
      <c r="M794" s="76">
        <f t="shared" si="149"/>
        <v>14331.300000000001</v>
      </c>
      <c r="N794" s="90">
        <f t="shared" si="150"/>
        <v>0.45608256477821701</v>
      </c>
      <c r="O794" s="51"/>
      <c r="R794" s="53">
        <v>21.63</v>
      </c>
    </row>
    <row r="795" spans="1:18" s="56" customFormat="1" ht="12" x14ac:dyDescent="0.2">
      <c r="A795" s="94">
        <v>88489</v>
      </c>
      <c r="B795" s="87">
        <v>41301</v>
      </c>
      <c r="C795" s="74" t="s">
        <v>1253</v>
      </c>
      <c r="D795" s="73" t="s">
        <v>14</v>
      </c>
      <c r="E795" s="75">
        <v>1269</v>
      </c>
      <c r="F795" s="75"/>
      <c r="G795" s="75">
        <f t="shared" si="151"/>
        <v>0</v>
      </c>
      <c r="H795" s="75">
        <f t="shared" si="144"/>
        <v>8.41</v>
      </c>
      <c r="I795" s="75">
        <f t="shared" si="145"/>
        <v>10.73</v>
      </c>
      <c r="J795" s="76">
        <f t="shared" si="146"/>
        <v>10672.29</v>
      </c>
      <c r="K795" s="76">
        <f t="shared" si="147"/>
        <v>13616.37</v>
      </c>
      <c r="L795" s="76">
        <f t="shared" si="148"/>
        <v>0</v>
      </c>
      <c r="M795" s="76">
        <f t="shared" si="149"/>
        <v>0</v>
      </c>
      <c r="N795" s="90">
        <f t="shared" si="150"/>
        <v>0</v>
      </c>
      <c r="O795" s="51"/>
      <c r="R795" s="53">
        <v>8.41</v>
      </c>
    </row>
    <row r="796" spans="1:18" s="56" customFormat="1" ht="12" x14ac:dyDescent="0.2">
      <c r="A796" s="72"/>
      <c r="B796" s="71"/>
      <c r="C796" s="71"/>
      <c r="D796" s="71"/>
      <c r="E796" s="71"/>
      <c r="F796" s="71"/>
      <c r="G796" s="71"/>
      <c r="H796" s="75"/>
      <c r="I796" s="77" t="s">
        <v>1269</v>
      </c>
      <c r="J796" s="78">
        <f>SUM(J783:J795)</f>
        <v>107814.78</v>
      </c>
      <c r="K796" s="78">
        <f>SUM(K783:K795)</f>
        <v>137571.40999999997</v>
      </c>
      <c r="L796" s="78">
        <f>SUM(L783:L795)</f>
        <v>81799.698999999993</v>
      </c>
      <c r="M796" s="78">
        <f>SUM(M783:M795)</f>
        <v>81799.698999999993</v>
      </c>
      <c r="N796" s="91">
        <f>M796/K796</f>
        <v>0.59459809999766677</v>
      </c>
      <c r="O796" s="60"/>
      <c r="R796" s="59"/>
    </row>
    <row r="797" spans="1:18" s="56" customFormat="1" ht="12" x14ac:dyDescent="0.2">
      <c r="A797" s="72"/>
      <c r="B797" s="70" t="s">
        <v>1255</v>
      </c>
      <c r="C797" s="71" t="s">
        <v>1270</v>
      </c>
      <c r="D797" s="72"/>
      <c r="E797" s="72"/>
      <c r="F797" s="72"/>
      <c r="G797" s="72"/>
      <c r="H797" s="75"/>
      <c r="I797" s="72"/>
      <c r="J797" s="72"/>
      <c r="K797" s="72"/>
      <c r="L797" s="72"/>
      <c r="M797" s="72"/>
      <c r="N797" s="72"/>
      <c r="O797" s="52"/>
      <c r="R797" s="52"/>
    </row>
    <row r="798" spans="1:18" s="56" customFormat="1" ht="36" x14ac:dyDescent="0.2">
      <c r="A798" s="94">
        <v>97627</v>
      </c>
      <c r="B798" s="80">
        <v>46419</v>
      </c>
      <c r="C798" s="74" t="s">
        <v>1271</v>
      </c>
      <c r="D798" s="69" t="s">
        <v>171</v>
      </c>
      <c r="E798" s="75">
        <v>16.77</v>
      </c>
      <c r="F798" s="75">
        <v>5.03</v>
      </c>
      <c r="G798" s="75">
        <f>F798</f>
        <v>5.03</v>
      </c>
      <c r="H798" s="75">
        <f>ROUND(R798*$R$12,2)</f>
        <v>184.77</v>
      </c>
      <c r="I798" s="75">
        <f>ROUND(H798*(1+$S$1),2)</f>
        <v>235.75</v>
      </c>
      <c r="J798" s="76">
        <f>ROUND(E798*H798,2)</f>
        <v>3098.59</v>
      </c>
      <c r="K798" s="76">
        <f>ROUND(E798*I798,2)</f>
        <v>3953.53</v>
      </c>
      <c r="L798" s="76">
        <f>F798*I798</f>
        <v>1185.8225</v>
      </c>
      <c r="M798" s="76">
        <f>G798*I798</f>
        <v>1185.8225</v>
      </c>
      <c r="N798" s="90">
        <f>M798/K798</f>
        <v>0.29994018004163364</v>
      </c>
      <c r="O798" s="51"/>
      <c r="R798" s="53">
        <v>184.77</v>
      </c>
    </row>
    <row r="799" spans="1:18" s="56" customFormat="1" ht="24" x14ac:dyDescent="0.2">
      <c r="A799" s="94">
        <v>72897</v>
      </c>
      <c r="B799" s="80">
        <v>46420</v>
      </c>
      <c r="C799" s="74" t="s">
        <v>1272</v>
      </c>
      <c r="D799" s="69" t="s">
        <v>171</v>
      </c>
      <c r="E799" s="75">
        <v>20.97</v>
      </c>
      <c r="F799" s="75">
        <v>6.29</v>
      </c>
      <c r="G799" s="75">
        <f>F799</f>
        <v>6.29</v>
      </c>
      <c r="H799" s="75">
        <f>ROUND(R799*$R$12,2)</f>
        <v>16.57</v>
      </c>
      <c r="I799" s="75">
        <f>ROUND(H799*(1+$S$1),2)</f>
        <v>21.14</v>
      </c>
      <c r="J799" s="76">
        <f>ROUND(E799*H799,2)</f>
        <v>347.47</v>
      </c>
      <c r="K799" s="76">
        <f>ROUND(E799*I799,2)</f>
        <v>443.31</v>
      </c>
      <c r="L799" s="76">
        <f>F799*I799</f>
        <v>132.97059999999999</v>
      </c>
      <c r="M799" s="76">
        <f>G799*I799</f>
        <v>132.97059999999999</v>
      </c>
      <c r="N799" s="90">
        <f>M799/K799</f>
        <v>0.29994947102479075</v>
      </c>
      <c r="O799" s="51"/>
      <c r="R799" s="53">
        <v>16.57</v>
      </c>
    </row>
    <row r="800" spans="1:18" s="56" customFormat="1" ht="12" x14ac:dyDescent="0.2">
      <c r="A800" s="72"/>
      <c r="B800" s="71"/>
      <c r="C800" s="71"/>
      <c r="D800" s="71"/>
      <c r="E800" s="71"/>
      <c r="F800" s="71"/>
      <c r="G800" s="71"/>
      <c r="H800" s="71"/>
      <c r="I800" s="77" t="s">
        <v>1273</v>
      </c>
      <c r="J800" s="78">
        <f>SUM(J798:J799)</f>
        <v>3446.0600000000004</v>
      </c>
      <c r="K800" s="78">
        <f>SUM(K798:K799)</f>
        <v>4396.84</v>
      </c>
      <c r="L800" s="78">
        <f>SUM(L798:L799)</f>
        <v>1318.7930999999999</v>
      </c>
      <c r="M800" s="78">
        <f>SUM(M798:M799)</f>
        <v>1318.7930999999999</v>
      </c>
      <c r="N800" s="91">
        <f>M800/K800</f>
        <v>0.29994111680206692</v>
      </c>
      <c r="O800" s="60"/>
      <c r="R800" s="59"/>
    </row>
    <row r="801" spans="1:18" s="56" customFormat="1" ht="12" x14ac:dyDescent="0.2">
      <c r="A801" s="72"/>
      <c r="B801" s="69"/>
      <c r="C801" s="8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52"/>
      <c r="R801" s="52"/>
    </row>
    <row r="802" spans="1:18" s="56" customFormat="1" ht="12" x14ac:dyDescent="0.2">
      <c r="A802" s="72"/>
      <c r="B802" s="71"/>
      <c r="C802" s="71"/>
      <c r="D802" s="71"/>
      <c r="E802" s="71"/>
      <c r="F802" s="71"/>
      <c r="G802" s="71"/>
      <c r="H802" s="71"/>
      <c r="I802" s="77" t="s">
        <v>1260</v>
      </c>
      <c r="J802" s="78">
        <f>SUM(J800,J796,)</f>
        <v>111260.84</v>
      </c>
      <c r="K802" s="78">
        <f>SUM(K800,K796,)</f>
        <v>141968.24999999997</v>
      </c>
      <c r="L802" s="78">
        <f>SUM(L800,L796,)</f>
        <v>83118.492099999989</v>
      </c>
      <c r="M802" s="78">
        <f>SUM(M800,M796,)</f>
        <v>83118.492099999989</v>
      </c>
      <c r="N802" s="91">
        <f>M802/K802</f>
        <v>0.58547240034303449</v>
      </c>
      <c r="O802" s="60"/>
      <c r="P802" s="58"/>
      <c r="R802" s="59"/>
    </row>
    <row r="803" spans="1:18" s="56" customFormat="1" ht="12" x14ac:dyDescent="0.2">
      <c r="A803" s="72"/>
      <c r="B803" s="71" t="s">
        <v>1261</v>
      </c>
      <c r="C803" s="71"/>
      <c r="D803" s="71"/>
      <c r="E803" s="71"/>
      <c r="F803" s="71"/>
      <c r="G803" s="71"/>
      <c r="H803" s="71"/>
      <c r="I803" s="77" t="s">
        <v>1281</v>
      </c>
      <c r="J803" s="78">
        <f>SUM(J802,J779,J775,J759,J721,J698,J625,J464,J389,J370,J343,J317,J312,J256,J190,J167,J152,J146,J137,J120,J115,J107,J103,J63,J53,J31,J19)</f>
        <v>1404497.93</v>
      </c>
      <c r="K803" s="78">
        <f>SUM(K802,K779,K775,K759,K721,K698,K625,K464,K389,K370,K343,K317,K312,K256,K190,K167,K152,K146,K137,K120,K115,K107,K103,K63,K53,K31,K19)</f>
        <v>1791994.5999999999</v>
      </c>
      <c r="L803" s="78">
        <f>SUM(L802,L779,L775,L759,L721,L698,L625,L464,L389,L370,L343,L317,L312,L256,L190,L167,L152,L146,L137,L120,L115,L107,L103,L63,L53,L31,L19)</f>
        <v>175590.38639999999</v>
      </c>
      <c r="M803" s="78">
        <f>SUM(M802,M779,M775,M759,M721,M698,M625,M464,M389,M370,M343,M317,M312,M256,M190,M167,M152,M146,M137,M120,M115,M107,M103,M63,M53,M31,M19)</f>
        <v>175590.38639999999</v>
      </c>
      <c r="N803" s="91">
        <f>L803/K803</f>
        <v>9.7986001966747005E-2</v>
      </c>
      <c r="O803" s="60"/>
      <c r="P803" s="58"/>
      <c r="R803" s="59"/>
    </row>
    <row r="804" spans="1:18" x14ac:dyDescent="0.2">
      <c r="J804" s="65"/>
    </row>
    <row r="807" spans="1:18" x14ac:dyDescent="0.2">
      <c r="A807" s="63" t="s">
        <v>1300</v>
      </c>
      <c r="D807" s="63" t="s">
        <v>1301</v>
      </c>
      <c r="G807" s="63" t="s">
        <v>1302</v>
      </c>
      <c r="L807" s="63" t="s">
        <v>1300</v>
      </c>
    </row>
    <row r="808" spans="1:18" x14ac:dyDescent="0.2">
      <c r="A808" s="63" t="s">
        <v>1303</v>
      </c>
      <c r="D808" s="63" t="s">
        <v>1304</v>
      </c>
      <c r="G808" s="63" t="s">
        <v>1305</v>
      </c>
      <c r="L808" s="63" t="s">
        <v>1306</v>
      </c>
    </row>
    <row r="809" spans="1:18" x14ac:dyDescent="0.2">
      <c r="A809" s="63" t="s">
        <v>1307</v>
      </c>
      <c r="D809" s="63" t="s">
        <v>1308</v>
      </c>
      <c r="G809" s="63" t="s">
        <v>1309</v>
      </c>
      <c r="L809" s="63" t="s">
        <v>1310</v>
      </c>
    </row>
    <row r="810" spans="1:18" x14ac:dyDescent="0.2">
      <c r="A810" s="63" t="s">
        <v>1311</v>
      </c>
      <c r="D810" s="63" t="s">
        <v>1312</v>
      </c>
      <c r="L810" s="63" t="s">
        <v>1313</v>
      </c>
    </row>
    <row r="811" spans="1:18" x14ac:dyDescent="0.2">
      <c r="L811" s="63" t="s">
        <v>1314</v>
      </c>
    </row>
  </sheetData>
  <mergeCells count="19">
    <mergeCell ref="A10:E11"/>
    <mergeCell ref="F10:H10"/>
    <mergeCell ref="A9:E9"/>
    <mergeCell ref="F9:H9"/>
    <mergeCell ref="I9:J9"/>
    <mergeCell ref="I10:J10"/>
    <mergeCell ref="A1:J7"/>
    <mergeCell ref="K1:N7"/>
    <mergeCell ref="A8:E8"/>
    <mergeCell ref="F8:H8"/>
    <mergeCell ref="I8:J8"/>
    <mergeCell ref="K8:L8"/>
    <mergeCell ref="M8:N8"/>
    <mergeCell ref="K10:L11"/>
    <mergeCell ref="M10:N11"/>
    <mergeCell ref="F11:H11"/>
    <mergeCell ref="I11:J11"/>
    <mergeCell ref="K9:L9"/>
    <mergeCell ref="M9:N9"/>
  </mergeCells>
  <printOptions horizontalCentered="1"/>
  <pageMargins left="0.31496062992125984" right="0.31496062992125984" top="0.39370078740157483" bottom="1.1417322834645669" header="0.31496062992125984" footer="0.31496062992125984"/>
  <pageSetup paperSize="9" scale="58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7"/>
  <sheetViews>
    <sheetView showGridLines="0" zoomScale="70" zoomScaleNormal="70" zoomScaleSheetLayoutView="70" workbookViewId="0">
      <selection activeCell="K8" sqref="K8:P8"/>
    </sheetView>
  </sheetViews>
  <sheetFormatPr defaultColWidth="9.33203125" defaultRowHeight="12.75" x14ac:dyDescent="0.2"/>
  <cols>
    <col min="1" max="1" width="15.83203125" style="63" customWidth="1"/>
    <col min="2" max="2" width="15.83203125" style="64" customWidth="1"/>
    <col min="3" max="3" width="61" style="63" customWidth="1"/>
    <col min="4" max="4" width="8.83203125" style="63" customWidth="1"/>
    <col min="5" max="5" width="15" style="63" customWidth="1"/>
    <col min="6" max="6" width="15.83203125" style="63" hidden="1" customWidth="1"/>
    <col min="7" max="7" width="20.33203125" style="63" customWidth="1"/>
    <col min="8" max="8" width="22.6640625" style="63" customWidth="1"/>
    <col min="9" max="9" width="19.5" style="63" customWidth="1"/>
    <col min="10" max="10" width="19.33203125" style="63" customWidth="1"/>
    <col min="11" max="11" width="14.6640625" style="63" customWidth="1"/>
    <col min="12" max="12" width="15.83203125" style="63" hidden="1" customWidth="1"/>
    <col min="13" max="13" width="18.6640625" style="63" customWidth="1"/>
    <col min="14" max="17" width="15.83203125" style="63" customWidth="1"/>
    <col min="18" max="18" width="15" style="63" customWidth="1"/>
    <col min="19" max="19" width="20.83203125" style="63" customWidth="1"/>
    <col min="20" max="20" width="22.33203125" style="63" customWidth="1"/>
    <col min="21" max="21" width="17.83203125" style="63" customWidth="1"/>
    <col min="22" max="16384" width="9.33203125" style="63"/>
  </cols>
  <sheetData>
    <row r="1" spans="1:21" s="67" customFormat="1" ht="12" customHeight="1" x14ac:dyDescent="0.2">
      <c r="B1" s="99"/>
      <c r="C1" s="99"/>
      <c r="D1" s="166" t="s">
        <v>1287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55"/>
      <c r="S1" s="66"/>
      <c r="T1" s="55"/>
      <c r="U1" s="68">
        <v>0.27589999999999998</v>
      </c>
    </row>
    <row r="2" spans="1:21" s="67" customFormat="1" ht="12" customHeight="1" x14ac:dyDescent="0.2">
      <c r="A2" s="100"/>
      <c r="B2" s="101"/>
      <c r="C2" s="101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57"/>
      <c r="T2" s="57"/>
      <c r="U2" s="57"/>
    </row>
    <row r="3" spans="1:21" s="67" customFormat="1" ht="12" customHeight="1" x14ac:dyDescent="0.2">
      <c r="A3" s="100"/>
      <c r="B3" s="101"/>
      <c r="C3" s="101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57"/>
      <c r="T3" s="57"/>
      <c r="U3" s="57"/>
    </row>
    <row r="4" spans="1:21" s="67" customFormat="1" ht="12" customHeight="1" x14ac:dyDescent="0.2">
      <c r="A4" s="100"/>
      <c r="B4" s="101"/>
      <c r="C4" s="101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57"/>
      <c r="T4" s="57"/>
      <c r="U4" s="57"/>
    </row>
    <row r="5" spans="1:21" s="67" customFormat="1" ht="19.5" customHeight="1" x14ac:dyDescent="0.2">
      <c r="A5" s="100"/>
      <c r="B5" s="101"/>
      <c r="C5" s="101"/>
      <c r="D5" s="169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1"/>
      <c r="Q5" s="57"/>
      <c r="T5" s="57"/>
      <c r="U5" s="57"/>
    </row>
    <row r="6" spans="1:21" s="67" customFormat="1" ht="49.5" customHeight="1" x14ac:dyDescent="0.2">
      <c r="A6" s="175" t="s">
        <v>1288</v>
      </c>
      <c r="B6" s="176"/>
      <c r="C6" s="176"/>
      <c r="D6" s="196" t="s">
        <v>1289</v>
      </c>
      <c r="E6" s="196"/>
      <c r="F6" s="113"/>
      <c r="G6" s="116" t="s">
        <v>1290</v>
      </c>
      <c r="H6" s="109" t="s">
        <v>1319</v>
      </c>
      <c r="I6" s="118">
        <f>M819</f>
        <v>149893.5864</v>
      </c>
      <c r="J6" s="109" t="s">
        <v>1316</v>
      </c>
      <c r="K6" s="126">
        <f>I6/$G$7</f>
        <v>8.3646226612513239E-2</v>
      </c>
      <c r="L6" s="113"/>
      <c r="M6" s="111" t="s">
        <v>1295</v>
      </c>
      <c r="N6" s="187">
        <v>43539</v>
      </c>
      <c r="O6" s="187"/>
      <c r="P6" s="187"/>
      <c r="Q6" s="57"/>
      <c r="T6" s="57"/>
      <c r="U6" s="57"/>
    </row>
    <row r="7" spans="1:21" s="108" customFormat="1" ht="43.5" customHeight="1" x14ac:dyDescent="0.2">
      <c r="A7" s="192" t="s">
        <v>1293</v>
      </c>
      <c r="B7" s="193"/>
      <c r="C7" s="193"/>
      <c r="D7" s="194" t="s">
        <v>1322</v>
      </c>
      <c r="E7" s="195"/>
      <c r="F7" s="105"/>
      <c r="G7" s="120">
        <f>H819</f>
        <v>1791994.5999999999</v>
      </c>
      <c r="H7" s="115" t="s">
        <v>1320</v>
      </c>
      <c r="I7" s="119">
        <f>N819</f>
        <v>149893.5864</v>
      </c>
      <c r="J7" s="112" t="s">
        <v>1317</v>
      </c>
      <c r="K7" s="126">
        <f>I7/$G$7</f>
        <v>8.3646226612513239E-2</v>
      </c>
      <c r="L7" s="106"/>
      <c r="M7" s="112" t="s">
        <v>1297</v>
      </c>
      <c r="N7" s="188">
        <v>43905</v>
      </c>
      <c r="O7" s="189"/>
      <c r="P7" s="190"/>
      <c r="Q7" s="107"/>
      <c r="T7" s="107"/>
      <c r="U7" s="107"/>
    </row>
    <row r="8" spans="1:21" s="67" customFormat="1" ht="26.25" customHeight="1" x14ac:dyDescent="0.2">
      <c r="A8" s="104" t="s">
        <v>1299</v>
      </c>
      <c r="B8" s="97"/>
      <c r="C8" s="97"/>
      <c r="D8" s="191" t="s">
        <v>1294</v>
      </c>
      <c r="E8" s="191"/>
      <c r="F8" s="98"/>
      <c r="G8" s="117">
        <v>43612</v>
      </c>
      <c r="H8" s="110" t="s">
        <v>1321</v>
      </c>
      <c r="I8" s="118">
        <f>G7-I7</f>
        <v>1642101.0135999999</v>
      </c>
      <c r="J8" s="109" t="s">
        <v>1291</v>
      </c>
      <c r="K8" s="191" t="s">
        <v>1292</v>
      </c>
      <c r="L8" s="191"/>
      <c r="M8" s="191"/>
      <c r="N8" s="191"/>
      <c r="O8" s="191"/>
      <c r="P8" s="191"/>
      <c r="U8" s="57"/>
    </row>
    <row r="9" spans="1:21" s="67" customFormat="1" ht="26.25" customHeight="1" x14ac:dyDescent="0.2">
      <c r="A9" s="102"/>
      <c r="B9" s="103"/>
      <c r="C9" s="103"/>
      <c r="D9" s="121"/>
      <c r="E9" s="121"/>
      <c r="F9" s="114"/>
      <c r="G9" s="122"/>
      <c r="H9" s="123"/>
      <c r="I9" s="124"/>
      <c r="J9" s="125"/>
      <c r="K9" s="121"/>
      <c r="L9" s="121"/>
      <c r="M9" s="121"/>
      <c r="N9" s="121"/>
      <c r="O9" s="121"/>
      <c r="P9" s="121"/>
      <c r="U9" s="57"/>
    </row>
    <row r="10" spans="1:21" s="56" customFormat="1" ht="24" x14ac:dyDescent="0.2">
      <c r="A10" s="92" t="s">
        <v>166</v>
      </c>
      <c r="B10" s="70" t="s">
        <v>4</v>
      </c>
      <c r="C10" s="70" t="s">
        <v>5</v>
      </c>
      <c r="D10" s="70" t="s">
        <v>6</v>
      </c>
      <c r="E10" s="70" t="s">
        <v>7</v>
      </c>
      <c r="F10" s="69" t="s">
        <v>1279</v>
      </c>
      <c r="G10" s="69" t="s">
        <v>168</v>
      </c>
      <c r="H10" s="69" t="s">
        <v>170</v>
      </c>
      <c r="I10" s="70" t="s">
        <v>1389</v>
      </c>
      <c r="J10" s="70" t="s">
        <v>1283</v>
      </c>
      <c r="K10" s="70" t="s">
        <v>1315</v>
      </c>
      <c r="L10" s="69" t="s">
        <v>169</v>
      </c>
      <c r="M10" s="70" t="s">
        <v>1284</v>
      </c>
      <c r="N10" s="70" t="s">
        <v>1285</v>
      </c>
      <c r="O10" s="70" t="s">
        <v>1315</v>
      </c>
      <c r="P10" s="70" t="s">
        <v>1318</v>
      </c>
      <c r="Q10" s="54"/>
      <c r="S10" s="58">
        <f>H819</f>
        <v>1791994.5999999999</v>
      </c>
      <c r="T10" s="53">
        <v>1</v>
      </c>
    </row>
    <row r="11" spans="1:21" s="56" customFormat="1" ht="12" x14ac:dyDescent="0.2">
      <c r="A11" s="72"/>
      <c r="B11" s="70" t="s">
        <v>8</v>
      </c>
      <c r="C11" s="71" t="s">
        <v>9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52"/>
      <c r="S11" s="58">
        <v>1791994.68</v>
      </c>
      <c r="T11" s="52"/>
    </row>
    <row r="12" spans="1:21" s="56" customFormat="1" ht="12" x14ac:dyDescent="0.2">
      <c r="A12" s="72"/>
      <c r="B12" s="70" t="s">
        <v>10</v>
      </c>
      <c r="C12" s="71" t="s">
        <v>11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52"/>
      <c r="T12" s="52"/>
    </row>
    <row r="13" spans="1:21" s="56" customFormat="1" ht="12" x14ac:dyDescent="0.2">
      <c r="A13" s="94">
        <v>93207</v>
      </c>
      <c r="B13" s="73" t="s">
        <v>12</v>
      </c>
      <c r="C13" s="74" t="s">
        <v>13</v>
      </c>
      <c r="D13" s="73" t="s">
        <v>14</v>
      </c>
      <c r="E13" s="75">
        <v>25.41</v>
      </c>
      <c r="F13" s="75">
        <f>ROUND(T13*$T$10,2)</f>
        <v>596.15</v>
      </c>
      <c r="G13" s="75">
        <f>ROUND(F13*(1+$U$1),2)</f>
        <v>760.63</v>
      </c>
      <c r="H13" s="76">
        <f>ROUND(E13*G13,2)</f>
        <v>19327.61</v>
      </c>
      <c r="I13" s="75">
        <v>25.41</v>
      </c>
      <c r="J13" s="75">
        <f>I13</f>
        <v>25.41</v>
      </c>
      <c r="K13" s="75">
        <f>E13-I13</f>
        <v>0</v>
      </c>
      <c r="L13" s="76">
        <f>ROUND(E13*F13,2)</f>
        <v>15148.17</v>
      </c>
      <c r="M13" s="76">
        <f>I13*G13</f>
        <v>19327.6083</v>
      </c>
      <c r="N13" s="76">
        <f>J13*G13</f>
        <v>19327.6083</v>
      </c>
      <c r="O13" s="76">
        <f>H13-N13</f>
        <v>1.7000000007101335E-3</v>
      </c>
      <c r="P13" s="90">
        <f>N13/H13</f>
        <v>0.99999991204292715</v>
      </c>
      <c r="Q13" s="51"/>
      <c r="T13" s="53">
        <v>596.15</v>
      </c>
    </row>
    <row r="14" spans="1:21" s="56" customFormat="1" ht="24" x14ac:dyDescent="0.2">
      <c r="A14" s="73" t="s">
        <v>15</v>
      </c>
      <c r="B14" s="73" t="s">
        <v>16</v>
      </c>
      <c r="C14" s="74" t="s">
        <v>17</v>
      </c>
      <c r="D14" s="73" t="s">
        <v>14</v>
      </c>
      <c r="E14" s="75">
        <v>3</v>
      </c>
      <c r="F14" s="75">
        <f>ROUND(T14*$T$10,2)</f>
        <v>254.73</v>
      </c>
      <c r="G14" s="75">
        <f>ROUND(F14*(1+$U$1),2)</f>
        <v>325.01</v>
      </c>
      <c r="H14" s="76">
        <f>ROUND(E14*G14,2)</f>
        <v>975.03</v>
      </c>
      <c r="I14" s="75"/>
      <c r="J14" s="75">
        <f>I14</f>
        <v>0</v>
      </c>
      <c r="K14" s="75">
        <f>E14-I14</f>
        <v>3</v>
      </c>
      <c r="L14" s="76">
        <f>ROUND(E14*F14,2)</f>
        <v>764.19</v>
      </c>
      <c r="M14" s="76">
        <f>I14*G14</f>
        <v>0</v>
      </c>
      <c r="N14" s="76">
        <f>J14*G14</f>
        <v>0</v>
      </c>
      <c r="O14" s="76">
        <f>H14-N14</f>
        <v>975.03</v>
      </c>
      <c r="P14" s="90">
        <f>N14/H14</f>
        <v>0</v>
      </c>
      <c r="T14" s="53">
        <v>254.73</v>
      </c>
    </row>
    <row r="15" spans="1:21" s="56" customFormat="1" ht="24" x14ac:dyDescent="0.2">
      <c r="A15" s="94">
        <v>92235</v>
      </c>
      <c r="B15" s="73" t="s">
        <v>18</v>
      </c>
      <c r="C15" s="74" t="s">
        <v>19</v>
      </c>
      <c r="D15" s="73" t="s">
        <v>14</v>
      </c>
      <c r="E15" s="75">
        <v>650</v>
      </c>
      <c r="F15" s="75">
        <f>ROUND(T15*$T$10,2)</f>
        <v>49.62</v>
      </c>
      <c r="G15" s="75">
        <f>ROUND(F15*(1+$U$1),2)</f>
        <v>63.31</v>
      </c>
      <c r="H15" s="76">
        <f>ROUND(E15*G15,2)</f>
        <v>41151.5</v>
      </c>
      <c r="I15" s="75">
        <v>82.11</v>
      </c>
      <c r="J15" s="75">
        <f>I15</f>
        <v>82.11</v>
      </c>
      <c r="K15" s="75">
        <f>E15-I15</f>
        <v>567.89</v>
      </c>
      <c r="L15" s="76">
        <f>ROUND(E15*F15,2)</f>
        <v>32253</v>
      </c>
      <c r="M15" s="76">
        <f>I15*G15</f>
        <v>5198.3841000000002</v>
      </c>
      <c r="N15" s="76">
        <f>J15*G15</f>
        <v>5198.3841000000002</v>
      </c>
      <c r="O15" s="76">
        <f>H15-N15</f>
        <v>35953.115899999997</v>
      </c>
      <c r="P15" s="90">
        <f>N15/H15</f>
        <v>0.12632307692307693</v>
      </c>
      <c r="Q15" s="51"/>
      <c r="T15" s="53">
        <v>49.62</v>
      </c>
    </row>
    <row r="16" spans="1:21" s="56" customFormat="1" ht="12" x14ac:dyDescent="0.2">
      <c r="A16" s="73" t="s">
        <v>20</v>
      </c>
      <c r="B16" s="73" t="s">
        <v>21</v>
      </c>
      <c r="C16" s="74" t="s">
        <v>22</v>
      </c>
      <c r="D16" s="73" t="s">
        <v>23</v>
      </c>
      <c r="E16" s="75">
        <v>385.84</v>
      </c>
      <c r="F16" s="75">
        <f>ROUND(T16*$T$10,2)</f>
        <v>5.2</v>
      </c>
      <c r="G16" s="75">
        <f>ROUND(F16*(1+$U$1),2)</f>
        <v>6.63</v>
      </c>
      <c r="H16" s="76">
        <f>ROUND(E16*G16,2)</f>
        <v>2558.12</v>
      </c>
      <c r="I16" s="75">
        <v>385.84</v>
      </c>
      <c r="J16" s="75">
        <f>I16</f>
        <v>385.84</v>
      </c>
      <c r="K16" s="75">
        <f>E16-I16</f>
        <v>0</v>
      </c>
      <c r="L16" s="76">
        <f>ROUND(E16*F16,2)</f>
        <v>2006.37</v>
      </c>
      <c r="M16" s="76">
        <f>I16*G16</f>
        <v>2558.1191999999996</v>
      </c>
      <c r="N16" s="76">
        <f>J16*G16</f>
        <v>2558.1191999999996</v>
      </c>
      <c r="O16" s="76">
        <f>H16-N16</f>
        <v>8.0000000025393092E-4</v>
      </c>
      <c r="P16" s="90">
        <f>N16/H16</f>
        <v>0.99999968727033905</v>
      </c>
      <c r="Q16" s="51"/>
      <c r="T16" s="53">
        <v>5.2</v>
      </c>
    </row>
    <row r="17" spans="1:20" s="56" customFormat="1" ht="12" x14ac:dyDescent="0.2">
      <c r="A17" s="72"/>
      <c r="B17" s="71"/>
      <c r="C17" s="71"/>
      <c r="D17" s="71"/>
      <c r="E17" s="71"/>
      <c r="F17" s="75"/>
      <c r="G17" s="77" t="s">
        <v>24</v>
      </c>
      <c r="H17" s="78">
        <f>SUM(H13:H16)</f>
        <v>64012.26</v>
      </c>
      <c r="I17" s="71"/>
      <c r="J17" s="71"/>
      <c r="K17" s="71"/>
      <c r="L17" s="78">
        <f>SUM(L13:L16)</f>
        <v>50171.73</v>
      </c>
      <c r="M17" s="78">
        <f>SUM(M13:M16)</f>
        <v>27084.1116</v>
      </c>
      <c r="N17" s="78">
        <f>SUM(N13:N16)</f>
        <v>27084.1116</v>
      </c>
      <c r="O17" s="78">
        <f>SUM(O13:O16)</f>
        <v>36928.148399999998</v>
      </c>
      <c r="P17" s="91">
        <f>N17/H17</f>
        <v>0.42310819208695333</v>
      </c>
      <c r="Q17" s="60">
        <f>H17-N17</f>
        <v>36928.148400000005</v>
      </c>
      <c r="R17" s="58"/>
      <c r="T17" s="59"/>
    </row>
    <row r="18" spans="1:20" s="56" customFormat="1" ht="12" hidden="1" x14ac:dyDescent="0.2">
      <c r="A18" s="72"/>
      <c r="B18" s="70" t="s">
        <v>25</v>
      </c>
      <c r="C18" s="71" t="s">
        <v>26</v>
      </c>
      <c r="D18" s="72"/>
      <c r="E18" s="72"/>
      <c r="F18" s="7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52" t="s">
        <v>1290</v>
      </c>
      <c r="T18" s="52"/>
    </row>
    <row r="19" spans="1:20" s="56" customFormat="1" ht="12" hidden="1" x14ac:dyDescent="0.2">
      <c r="A19" s="72"/>
      <c r="B19" s="70" t="s">
        <v>27</v>
      </c>
      <c r="C19" s="71" t="s">
        <v>1262</v>
      </c>
      <c r="D19" s="72"/>
      <c r="E19" s="72"/>
      <c r="F19" s="75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52"/>
      <c r="T19" s="52"/>
    </row>
    <row r="20" spans="1:20" s="56" customFormat="1" ht="13.5" hidden="1" x14ac:dyDescent="0.2">
      <c r="A20" s="94">
        <v>94965</v>
      </c>
      <c r="B20" s="73" t="s">
        <v>29</v>
      </c>
      <c r="C20" s="74" t="s">
        <v>30</v>
      </c>
      <c r="D20" s="69" t="s">
        <v>171</v>
      </c>
      <c r="E20" s="75">
        <v>7.82</v>
      </c>
      <c r="F20" s="75">
        <f>ROUND(T20*$T$10,2)</f>
        <v>302.64</v>
      </c>
      <c r="G20" s="75">
        <f>ROUND(F20*(1+$U$1),2)</f>
        <v>386.14</v>
      </c>
      <c r="H20" s="76">
        <f>ROUND(E20*G20,2)</f>
        <v>3019.61</v>
      </c>
      <c r="I20" s="75"/>
      <c r="J20" s="75"/>
      <c r="K20" s="75">
        <f>E20-I20</f>
        <v>7.82</v>
      </c>
      <c r="L20" s="76">
        <f>ROUND(E20*F20,2)</f>
        <v>2366.64</v>
      </c>
      <c r="M20" s="76"/>
      <c r="N20" s="76"/>
      <c r="O20" s="76">
        <f>H20-N20</f>
        <v>3019.61</v>
      </c>
      <c r="P20" s="76"/>
      <c r="Q20" s="51"/>
      <c r="T20" s="53">
        <v>302.64</v>
      </c>
    </row>
    <row r="21" spans="1:20" s="56" customFormat="1" ht="24" hidden="1" x14ac:dyDescent="0.2">
      <c r="A21" s="94">
        <v>92873</v>
      </c>
      <c r="B21" s="73" t="s">
        <v>31</v>
      </c>
      <c r="C21" s="74" t="s">
        <v>32</v>
      </c>
      <c r="D21" s="69" t="s">
        <v>171</v>
      </c>
      <c r="E21" s="75">
        <v>7.82</v>
      </c>
      <c r="F21" s="75">
        <f>ROUND(T21*$T$10,2)</f>
        <v>135.94</v>
      </c>
      <c r="G21" s="75">
        <f>ROUND(F21*(1+$U$1),2)</f>
        <v>173.45</v>
      </c>
      <c r="H21" s="76">
        <f>ROUND(E21*G21,2)</f>
        <v>1356.38</v>
      </c>
      <c r="I21" s="75"/>
      <c r="J21" s="75"/>
      <c r="K21" s="75">
        <f>E21-I21</f>
        <v>7.82</v>
      </c>
      <c r="L21" s="76">
        <f>ROUND(E21*F21,2)</f>
        <v>1063.05</v>
      </c>
      <c r="M21" s="76"/>
      <c r="N21" s="76"/>
      <c r="O21" s="76">
        <f>H21-N21</f>
        <v>1356.38</v>
      </c>
      <c r="P21" s="76"/>
      <c r="Q21" s="51"/>
      <c r="T21" s="53">
        <v>135.94</v>
      </c>
    </row>
    <row r="22" spans="1:20" s="56" customFormat="1" ht="12" hidden="1" x14ac:dyDescent="0.2">
      <c r="A22" s="94">
        <v>92762</v>
      </c>
      <c r="B22" s="73" t="s">
        <v>33</v>
      </c>
      <c r="C22" s="74" t="s">
        <v>34</v>
      </c>
      <c r="D22" s="73" t="s">
        <v>35</v>
      </c>
      <c r="E22" s="75">
        <v>106.97</v>
      </c>
      <c r="F22" s="75">
        <f>ROUND(T22*$T$10,2)</f>
        <v>5.86</v>
      </c>
      <c r="G22" s="75">
        <f>ROUND(F22*(1+$U$1),2)</f>
        <v>7.48</v>
      </c>
      <c r="H22" s="76">
        <f>ROUND(E22*G22,2)</f>
        <v>800.14</v>
      </c>
      <c r="I22" s="75"/>
      <c r="J22" s="75"/>
      <c r="K22" s="75">
        <f>E22-I22</f>
        <v>106.97</v>
      </c>
      <c r="L22" s="76">
        <f>ROUND(E22*F22,2)</f>
        <v>626.84</v>
      </c>
      <c r="M22" s="76"/>
      <c r="N22" s="76"/>
      <c r="O22" s="76">
        <f>H22-N22</f>
        <v>800.14</v>
      </c>
      <c r="P22" s="76"/>
      <c r="Q22" s="51"/>
      <c r="T22" s="53">
        <v>5.86</v>
      </c>
    </row>
    <row r="23" spans="1:20" s="56" customFormat="1" ht="24" hidden="1" x14ac:dyDescent="0.2">
      <c r="A23" s="94">
        <v>96523</v>
      </c>
      <c r="B23" s="73" t="s">
        <v>36</v>
      </c>
      <c r="C23" s="74" t="s">
        <v>37</v>
      </c>
      <c r="D23" s="69" t="s">
        <v>171</v>
      </c>
      <c r="E23" s="75">
        <v>17.05</v>
      </c>
      <c r="F23" s="75">
        <f>ROUND(T23*$T$10,2)</f>
        <v>59.37</v>
      </c>
      <c r="G23" s="75">
        <f>ROUND(F23*(1+$U$1),2)</f>
        <v>75.75</v>
      </c>
      <c r="H23" s="76">
        <f>ROUND(E23*G23,2)</f>
        <v>1291.54</v>
      </c>
      <c r="I23" s="75">
        <v>17.05</v>
      </c>
      <c r="J23" s="75">
        <f>I23</f>
        <v>17.05</v>
      </c>
      <c r="K23" s="75">
        <f>E23-I23</f>
        <v>0</v>
      </c>
      <c r="L23" s="76">
        <f>ROUND(E23*F23,2)</f>
        <v>1012.26</v>
      </c>
      <c r="M23" s="76">
        <f>I23*G23</f>
        <v>1291.5375000000001</v>
      </c>
      <c r="N23" s="76">
        <f>J23*G23</f>
        <v>1291.5375000000001</v>
      </c>
      <c r="O23" s="76">
        <f>H23-N23</f>
        <v>2.499999999827196E-3</v>
      </c>
      <c r="P23" s="90">
        <f>N23/H23</f>
        <v>0.99999806432630822</v>
      </c>
      <c r="Q23" s="51"/>
      <c r="T23" s="53">
        <v>59.37</v>
      </c>
    </row>
    <row r="24" spans="1:20" s="56" customFormat="1" ht="12" hidden="1" x14ac:dyDescent="0.2">
      <c r="A24" s="72"/>
      <c r="B24" s="70" t="s">
        <v>1263</v>
      </c>
      <c r="C24" s="71" t="s">
        <v>28</v>
      </c>
      <c r="D24" s="72"/>
      <c r="E24" s="72"/>
      <c r="F24" s="75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52"/>
      <c r="T24" s="52"/>
    </row>
    <row r="25" spans="1:20" s="56" customFormat="1" ht="13.5" hidden="1" x14ac:dyDescent="0.2">
      <c r="A25" s="94">
        <v>94965</v>
      </c>
      <c r="B25" s="73" t="s">
        <v>1264</v>
      </c>
      <c r="C25" s="74" t="s">
        <v>30</v>
      </c>
      <c r="D25" s="69" t="s">
        <v>171</v>
      </c>
      <c r="E25" s="75">
        <v>6.16</v>
      </c>
      <c r="F25" s="75">
        <f>ROUND(T25*$T$10,2)</f>
        <v>302.64</v>
      </c>
      <c r="G25" s="75">
        <f>ROUND(F25*(1+$U$1),2)</f>
        <v>386.14</v>
      </c>
      <c r="H25" s="76">
        <f>ROUND(E25*G25,2)</f>
        <v>2378.62</v>
      </c>
      <c r="I25" s="75"/>
      <c r="J25" s="75"/>
      <c r="K25" s="75">
        <f>E25-I25</f>
        <v>6.16</v>
      </c>
      <c r="L25" s="76">
        <f>ROUND(E25*F25,2)</f>
        <v>1864.26</v>
      </c>
      <c r="M25" s="76"/>
      <c r="N25" s="76"/>
      <c r="O25" s="76">
        <f>H25-N25</f>
        <v>2378.62</v>
      </c>
      <c r="P25" s="76"/>
      <c r="Q25" s="51"/>
      <c r="T25" s="53">
        <v>302.64</v>
      </c>
    </row>
    <row r="26" spans="1:20" s="56" customFormat="1" ht="24" hidden="1" x14ac:dyDescent="0.2">
      <c r="A26" s="94">
        <v>92873</v>
      </c>
      <c r="B26" s="73" t="s">
        <v>1265</v>
      </c>
      <c r="C26" s="74" t="s">
        <v>32</v>
      </c>
      <c r="D26" s="69" t="s">
        <v>171</v>
      </c>
      <c r="E26" s="75">
        <v>6.16</v>
      </c>
      <c r="F26" s="75">
        <f>ROUND(T26*$T$10,2)</f>
        <v>135.94</v>
      </c>
      <c r="G26" s="75">
        <f>ROUND(F26*(1+$U$1),2)</f>
        <v>173.45</v>
      </c>
      <c r="H26" s="76">
        <f>ROUND(E26*G26,2)</f>
        <v>1068.45</v>
      </c>
      <c r="I26" s="75"/>
      <c r="J26" s="75"/>
      <c r="K26" s="75">
        <f>E26-I26</f>
        <v>6.16</v>
      </c>
      <c r="L26" s="76">
        <f>ROUND(E26*F26,2)</f>
        <v>837.39</v>
      </c>
      <c r="M26" s="76"/>
      <c r="N26" s="76"/>
      <c r="O26" s="76">
        <f>H26-N26</f>
        <v>1068.45</v>
      </c>
      <c r="P26" s="76"/>
      <c r="Q26" s="51"/>
      <c r="T26" s="53">
        <v>135.94</v>
      </c>
    </row>
    <row r="27" spans="1:20" s="56" customFormat="1" ht="12" hidden="1" x14ac:dyDescent="0.2">
      <c r="A27" s="94">
        <v>92762</v>
      </c>
      <c r="B27" s="73" t="s">
        <v>1266</v>
      </c>
      <c r="C27" s="74" t="s">
        <v>34</v>
      </c>
      <c r="D27" s="73" t="s">
        <v>35</v>
      </c>
      <c r="E27" s="75">
        <v>296</v>
      </c>
      <c r="F27" s="75">
        <f>ROUND(T27*$T$10,2)</f>
        <v>5.86</v>
      </c>
      <c r="G27" s="75">
        <f>ROUND(F27*(1+$U$1),2)</f>
        <v>7.48</v>
      </c>
      <c r="H27" s="76">
        <f>ROUND(E27*G27,2)</f>
        <v>2214.08</v>
      </c>
      <c r="I27" s="75"/>
      <c r="J27" s="75"/>
      <c r="K27" s="75">
        <f>E27-I27</f>
        <v>296</v>
      </c>
      <c r="L27" s="76">
        <f>ROUND(E27*F27,2)</f>
        <v>1734.56</v>
      </c>
      <c r="M27" s="76"/>
      <c r="N27" s="76"/>
      <c r="O27" s="76">
        <f>H27-N27</f>
        <v>2214.08</v>
      </c>
      <c r="P27" s="76"/>
      <c r="Q27" s="51"/>
      <c r="T27" s="53">
        <v>5.86</v>
      </c>
    </row>
    <row r="28" spans="1:20" s="56" customFormat="1" ht="24" hidden="1" x14ac:dyDescent="0.2">
      <c r="A28" s="94">
        <v>96523</v>
      </c>
      <c r="B28" s="73" t="s">
        <v>1267</v>
      </c>
      <c r="C28" s="74" t="s">
        <v>37</v>
      </c>
      <c r="D28" s="69" t="s">
        <v>171</v>
      </c>
      <c r="E28" s="75">
        <v>88</v>
      </c>
      <c r="F28" s="75">
        <f>ROUND(T28*$T$10,2)</f>
        <v>59.37</v>
      </c>
      <c r="G28" s="75">
        <f>ROUND(F28*(1+$U$1),2)</f>
        <v>75.75</v>
      </c>
      <c r="H28" s="76">
        <f>ROUND(E28*G28,2)</f>
        <v>6666</v>
      </c>
      <c r="I28" s="75"/>
      <c r="J28" s="75"/>
      <c r="K28" s="75">
        <f>E28-I28</f>
        <v>88</v>
      </c>
      <c r="L28" s="76">
        <f>ROUND(E28*F28,2)</f>
        <v>5224.5600000000004</v>
      </c>
      <c r="M28" s="76"/>
      <c r="N28" s="76"/>
      <c r="O28" s="76">
        <f>H28-N28</f>
        <v>6666</v>
      </c>
      <c r="P28" s="76"/>
      <c r="Q28" s="51"/>
      <c r="T28" s="53">
        <v>59.37</v>
      </c>
    </row>
    <row r="29" spans="1:20" s="56" customFormat="1" ht="12" hidden="1" x14ac:dyDescent="0.2">
      <c r="A29" s="72"/>
      <c r="B29" s="71"/>
      <c r="C29" s="71"/>
      <c r="D29" s="71"/>
      <c r="E29" s="71"/>
      <c r="F29" s="75"/>
      <c r="G29" s="77" t="s">
        <v>38</v>
      </c>
      <c r="H29" s="78">
        <f>SUM(H20:H28)</f>
        <v>18794.82</v>
      </c>
      <c r="I29" s="71"/>
      <c r="J29" s="71"/>
      <c r="K29" s="71"/>
      <c r="L29" s="78">
        <f>SUM(L20:L28)</f>
        <v>14729.560000000001</v>
      </c>
      <c r="M29" s="78">
        <f>SUM(M20:M28)</f>
        <v>1291.5375000000001</v>
      </c>
      <c r="N29" s="78">
        <f>SUM(N20:N28)</f>
        <v>1291.5375000000001</v>
      </c>
      <c r="O29" s="78">
        <f>SUM(O20:O28)</f>
        <v>17503.282500000001</v>
      </c>
      <c r="P29" s="91">
        <f>N29/H29</f>
        <v>6.8717737121185521E-2</v>
      </c>
      <c r="Q29" s="60"/>
      <c r="R29" s="58"/>
      <c r="T29" s="59"/>
    </row>
    <row r="30" spans="1:20" s="56" customFormat="1" ht="12" x14ac:dyDescent="0.2">
      <c r="A30" s="72"/>
      <c r="B30" s="70" t="s">
        <v>39</v>
      </c>
      <c r="C30" s="71" t="s">
        <v>40</v>
      </c>
      <c r="D30" s="72"/>
      <c r="E30" s="72"/>
      <c r="F30" s="75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52"/>
      <c r="T30" s="52"/>
    </row>
    <row r="31" spans="1:20" s="56" customFormat="1" ht="12" x14ac:dyDescent="0.2">
      <c r="A31" s="72"/>
      <c r="B31" s="70" t="s">
        <v>41</v>
      </c>
      <c r="C31" s="71" t="s">
        <v>42</v>
      </c>
      <c r="D31" s="72"/>
      <c r="E31" s="72"/>
      <c r="F31" s="75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52"/>
      <c r="T31" s="52"/>
    </row>
    <row r="32" spans="1:20" s="56" customFormat="1" ht="12" x14ac:dyDescent="0.2">
      <c r="A32" s="94">
        <v>92265</v>
      </c>
      <c r="B32" s="73" t="s">
        <v>43</v>
      </c>
      <c r="C32" s="74" t="s">
        <v>44</v>
      </c>
      <c r="D32" s="73" t="s">
        <v>14</v>
      </c>
      <c r="E32" s="75">
        <v>142.72</v>
      </c>
      <c r="F32" s="75">
        <f>ROUND(T32*$T$10,2)</f>
        <v>60.66</v>
      </c>
      <c r="G32" s="75">
        <f>ROUND(F32*(1+$U$1),2)</f>
        <v>77.400000000000006</v>
      </c>
      <c r="H32" s="76">
        <f>ROUND(E32*G32,2)</f>
        <v>11046.53</v>
      </c>
      <c r="I32" s="75">
        <v>140</v>
      </c>
      <c r="J32" s="75">
        <f>I32</f>
        <v>140</v>
      </c>
      <c r="K32" s="75">
        <f>E32-I32</f>
        <v>2.7199999999999989</v>
      </c>
      <c r="L32" s="76">
        <f>ROUND(E32*F32,2)</f>
        <v>8657.4</v>
      </c>
      <c r="M32" s="76">
        <f>I32*G32</f>
        <v>10836</v>
      </c>
      <c r="N32" s="76">
        <f>J32*G32</f>
        <v>10836</v>
      </c>
      <c r="O32" s="76">
        <f>H32-N32</f>
        <v>210.53000000000065</v>
      </c>
      <c r="P32" s="90">
        <f>N32/H32</f>
        <v>0.98094152643409283</v>
      </c>
      <c r="Q32" s="51"/>
      <c r="T32" s="53">
        <v>60.66</v>
      </c>
    </row>
    <row r="33" spans="1:20" s="56" customFormat="1" ht="12" x14ac:dyDescent="0.2">
      <c r="A33" s="94">
        <v>92762</v>
      </c>
      <c r="B33" s="73" t="s">
        <v>45</v>
      </c>
      <c r="C33" s="74" t="s">
        <v>46</v>
      </c>
      <c r="D33" s="73" t="s">
        <v>35</v>
      </c>
      <c r="E33" s="75">
        <v>884.82</v>
      </c>
      <c r="F33" s="75">
        <f>ROUND(T33*$T$10,2)</f>
        <v>5.86</v>
      </c>
      <c r="G33" s="75">
        <f>ROUND(F33*(1+$U$1),2)</f>
        <v>7.48</v>
      </c>
      <c r="H33" s="76">
        <f>ROUND(E33*G33,2)</f>
        <v>6618.45</v>
      </c>
      <c r="I33" s="75"/>
      <c r="J33" s="75">
        <f>I33</f>
        <v>0</v>
      </c>
      <c r="K33" s="75">
        <f>E33-I33</f>
        <v>884.82</v>
      </c>
      <c r="L33" s="76">
        <f>ROUND(E33*F33,2)</f>
        <v>5185.05</v>
      </c>
      <c r="M33" s="76">
        <f>I33*G33</f>
        <v>0</v>
      </c>
      <c r="N33" s="76">
        <f>J33*G33</f>
        <v>0</v>
      </c>
      <c r="O33" s="76">
        <f>H33-N33</f>
        <v>6618.45</v>
      </c>
      <c r="P33" s="90">
        <f>N33/H33</f>
        <v>0</v>
      </c>
      <c r="Q33" s="51"/>
      <c r="T33" s="53">
        <v>5.86</v>
      </c>
    </row>
    <row r="34" spans="1:20" s="56" customFormat="1" ht="12" x14ac:dyDescent="0.2">
      <c r="A34" s="94">
        <v>94965</v>
      </c>
      <c r="B34" s="73" t="s">
        <v>47</v>
      </c>
      <c r="C34" s="74" t="s">
        <v>30</v>
      </c>
      <c r="D34" s="73" t="s">
        <v>48</v>
      </c>
      <c r="E34" s="75">
        <v>10.88</v>
      </c>
      <c r="F34" s="75">
        <f>ROUND(T34*$T$10,2)</f>
        <v>302.64</v>
      </c>
      <c r="G34" s="75">
        <f>ROUND(F34*(1+$U$1),2)</f>
        <v>386.14</v>
      </c>
      <c r="H34" s="76">
        <f>ROUND(E34*G34,2)</f>
        <v>4201.2</v>
      </c>
      <c r="I34" s="75"/>
      <c r="J34" s="75">
        <f>I34</f>
        <v>0</v>
      </c>
      <c r="K34" s="75">
        <f>E34-I34</f>
        <v>10.88</v>
      </c>
      <c r="L34" s="76">
        <f>ROUND(E34*F34,2)</f>
        <v>3292.72</v>
      </c>
      <c r="M34" s="76">
        <f>I34*G34</f>
        <v>0</v>
      </c>
      <c r="N34" s="76">
        <f>J34*G34</f>
        <v>0</v>
      </c>
      <c r="O34" s="76">
        <f>H34-N34</f>
        <v>4201.2</v>
      </c>
      <c r="P34" s="90">
        <f>N34/H34</f>
        <v>0</v>
      </c>
      <c r="Q34" s="51"/>
      <c r="T34" s="53">
        <v>302.64</v>
      </c>
    </row>
    <row r="35" spans="1:20" s="56" customFormat="1" ht="24" x14ac:dyDescent="0.2">
      <c r="A35" s="94">
        <v>92873</v>
      </c>
      <c r="B35" s="73" t="s">
        <v>49</v>
      </c>
      <c r="C35" s="74" t="s">
        <v>32</v>
      </c>
      <c r="D35" s="73" t="s">
        <v>48</v>
      </c>
      <c r="E35" s="75">
        <v>10.88</v>
      </c>
      <c r="F35" s="75">
        <f>ROUND(T35*$T$10,2)</f>
        <v>135.94</v>
      </c>
      <c r="G35" s="75">
        <f>ROUND(F35*(1+$U$1),2)</f>
        <v>173.45</v>
      </c>
      <c r="H35" s="76">
        <f>ROUND(E35*G35,2)</f>
        <v>1887.14</v>
      </c>
      <c r="I35" s="75"/>
      <c r="J35" s="75">
        <f>I35</f>
        <v>0</v>
      </c>
      <c r="K35" s="75">
        <f>E35-I35</f>
        <v>10.88</v>
      </c>
      <c r="L35" s="76">
        <f>ROUND(E35*F35,2)</f>
        <v>1479.03</v>
      </c>
      <c r="M35" s="76">
        <f>I35*G35</f>
        <v>0</v>
      </c>
      <c r="N35" s="76">
        <f>J35*G35</f>
        <v>0</v>
      </c>
      <c r="O35" s="76">
        <f>H35-N35</f>
        <v>1887.14</v>
      </c>
      <c r="P35" s="90">
        <f>N35/H35</f>
        <v>0</v>
      </c>
      <c r="Q35" s="51"/>
      <c r="T35" s="53">
        <v>135.94</v>
      </c>
    </row>
    <row r="36" spans="1:20" s="56" customFormat="1" ht="12" x14ac:dyDescent="0.2">
      <c r="A36" s="72"/>
      <c r="B36" s="70" t="s">
        <v>50</v>
      </c>
      <c r="C36" s="71" t="s">
        <v>51</v>
      </c>
      <c r="D36" s="72"/>
      <c r="E36" s="72"/>
      <c r="F36" s="75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52"/>
      <c r="T36" s="52"/>
    </row>
    <row r="37" spans="1:20" s="56" customFormat="1" ht="12" x14ac:dyDescent="0.2">
      <c r="A37" s="94">
        <v>92265</v>
      </c>
      <c r="B37" s="73" t="s">
        <v>52</v>
      </c>
      <c r="C37" s="74" t="s">
        <v>44</v>
      </c>
      <c r="D37" s="73" t="s">
        <v>14</v>
      </c>
      <c r="E37" s="75">
        <v>721.28</v>
      </c>
      <c r="F37" s="75">
        <f>ROUND(T37*$T$10,2)</f>
        <v>60.66</v>
      </c>
      <c r="G37" s="75">
        <f>ROUND(F37*(1+$U$1),2)</f>
        <v>77.400000000000006</v>
      </c>
      <c r="H37" s="76">
        <f>ROUND(E37*G37,2)</f>
        <v>55827.07</v>
      </c>
      <c r="I37" s="75">
        <v>192</v>
      </c>
      <c r="J37" s="75">
        <f>I37</f>
        <v>192</v>
      </c>
      <c r="K37" s="75">
        <f>E37-I37</f>
        <v>529.28</v>
      </c>
      <c r="L37" s="76">
        <f>ROUND(E37*F37,2)</f>
        <v>43752.84</v>
      </c>
      <c r="M37" s="76">
        <f>I37*G37</f>
        <v>14860.800000000001</v>
      </c>
      <c r="N37" s="76">
        <f>J37*G37</f>
        <v>14860.800000000001</v>
      </c>
      <c r="O37" s="76">
        <f>H37-N37</f>
        <v>40966.269999999997</v>
      </c>
      <c r="P37" s="90">
        <f>N37/H37</f>
        <v>0.26619344343165424</v>
      </c>
      <c r="Q37" s="51"/>
      <c r="T37" s="53">
        <v>60.66</v>
      </c>
    </row>
    <row r="38" spans="1:20" s="56" customFormat="1" ht="12" x14ac:dyDescent="0.2">
      <c r="A38" s="94">
        <v>92762</v>
      </c>
      <c r="B38" s="73" t="s">
        <v>53</v>
      </c>
      <c r="C38" s="74" t="s">
        <v>46</v>
      </c>
      <c r="D38" s="73" t="s">
        <v>35</v>
      </c>
      <c r="E38" s="76">
        <v>2439.4499999999998</v>
      </c>
      <c r="F38" s="75">
        <f>ROUND(T38*$T$10,2)</f>
        <v>5.86</v>
      </c>
      <c r="G38" s="75">
        <f>ROUND(F38*(1+$U$1),2)</f>
        <v>7.48</v>
      </c>
      <c r="H38" s="76">
        <f>ROUND(E38*G38,2)</f>
        <v>18247.09</v>
      </c>
      <c r="I38" s="76"/>
      <c r="J38" s="75">
        <f>I38</f>
        <v>0</v>
      </c>
      <c r="K38" s="75">
        <f>E38-I38</f>
        <v>2439.4499999999998</v>
      </c>
      <c r="L38" s="76">
        <f>ROUND(E38*F38,2)</f>
        <v>14295.18</v>
      </c>
      <c r="M38" s="76">
        <f>I38*G38</f>
        <v>0</v>
      </c>
      <c r="N38" s="76">
        <f>J38*G38</f>
        <v>0</v>
      </c>
      <c r="O38" s="76">
        <f>H38-N38</f>
        <v>18247.09</v>
      </c>
      <c r="P38" s="90">
        <f>N38/H38</f>
        <v>0</v>
      </c>
      <c r="Q38" s="51"/>
      <c r="T38" s="53">
        <v>5.86</v>
      </c>
    </row>
    <row r="39" spans="1:20" s="56" customFormat="1" ht="12" x14ac:dyDescent="0.2">
      <c r="A39" s="94">
        <v>94965</v>
      </c>
      <c r="B39" s="73" t="s">
        <v>54</v>
      </c>
      <c r="C39" s="74" t="s">
        <v>30</v>
      </c>
      <c r="D39" s="73" t="s">
        <v>48</v>
      </c>
      <c r="E39" s="75">
        <v>45.07</v>
      </c>
      <c r="F39" s="75">
        <f>ROUND(T39*$T$10,2)</f>
        <v>302.64</v>
      </c>
      <c r="G39" s="75">
        <f>ROUND(F39*(1+$U$1),2)</f>
        <v>386.14</v>
      </c>
      <c r="H39" s="76">
        <f>ROUND(E39*G39,2)</f>
        <v>17403.330000000002</v>
      </c>
      <c r="I39" s="75"/>
      <c r="J39" s="75">
        <f>I39</f>
        <v>0</v>
      </c>
      <c r="K39" s="75">
        <f>E39-I39</f>
        <v>45.07</v>
      </c>
      <c r="L39" s="76">
        <f>ROUND(E39*F39,2)</f>
        <v>13639.98</v>
      </c>
      <c r="M39" s="76">
        <f>I39*G39</f>
        <v>0</v>
      </c>
      <c r="N39" s="76">
        <f>J39*G39</f>
        <v>0</v>
      </c>
      <c r="O39" s="76">
        <f>H39-N39</f>
        <v>17403.330000000002</v>
      </c>
      <c r="P39" s="90">
        <f>N39/H39</f>
        <v>0</v>
      </c>
      <c r="Q39" s="51"/>
      <c r="T39" s="53">
        <v>302.64</v>
      </c>
    </row>
    <row r="40" spans="1:20" s="56" customFormat="1" ht="24" x14ac:dyDescent="0.2">
      <c r="A40" s="94">
        <v>92873</v>
      </c>
      <c r="B40" s="73" t="s">
        <v>55</v>
      </c>
      <c r="C40" s="74" t="s">
        <v>32</v>
      </c>
      <c r="D40" s="73" t="s">
        <v>48</v>
      </c>
      <c r="E40" s="75">
        <v>45.07</v>
      </c>
      <c r="F40" s="75">
        <f>ROUND(T40*$T$10,2)</f>
        <v>135.94</v>
      </c>
      <c r="G40" s="75">
        <f>ROUND(F40*(1+$U$1),2)</f>
        <v>173.45</v>
      </c>
      <c r="H40" s="76">
        <f>ROUND(E40*G40,2)</f>
        <v>7817.39</v>
      </c>
      <c r="I40" s="75"/>
      <c r="J40" s="75">
        <f>I40</f>
        <v>0</v>
      </c>
      <c r="K40" s="75">
        <f>E40-I40</f>
        <v>45.07</v>
      </c>
      <c r="L40" s="76">
        <f>ROUND(E40*F40,2)</f>
        <v>6126.82</v>
      </c>
      <c r="M40" s="76">
        <f>I40*G40</f>
        <v>0</v>
      </c>
      <c r="N40" s="76">
        <f>J40*G40</f>
        <v>0</v>
      </c>
      <c r="O40" s="76">
        <f>H40-N40</f>
        <v>7817.39</v>
      </c>
      <c r="P40" s="90">
        <f>N40/H40</f>
        <v>0</v>
      </c>
      <c r="Q40" s="51"/>
      <c r="T40" s="53">
        <v>135.94</v>
      </c>
    </row>
    <row r="41" spans="1:20" s="56" customFormat="1" ht="12" x14ac:dyDescent="0.2">
      <c r="A41" s="72"/>
      <c r="B41" s="70" t="s">
        <v>56</v>
      </c>
      <c r="C41" s="71" t="s">
        <v>57</v>
      </c>
      <c r="D41" s="72"/>
      <c r="E41" s="72"/>
      <c r="F41" s="75"/>
      <c r="G41" s="72"/>
      <c r="H41" s="72"/>
      <c r="I41" s="72"/>
      <c r="J41" s="72"/>
      <c r="K41" s="72"/>
      <c r="L41" s="72"/>
      <c r="M41" s="72"/>
      <c r="N41" s="72"/>
      <c r="O41" s="76"/>
      <c r="P41" s="90"/>
      <c r="Q41" s="52"/>
      <c r="T41" s="52"/>
    </row>
    <row r="42" spans="1:20" s="56" customFormat="1" ht="24" x14ac:dyDescent="0.2">
      <c r="A42" s="73" t="s">
        <v>58</v>
      </c>
      <c r="B42" s="73" t="s">
        <v>59</v>
      </c>
      <c r="C42" s="74" t="s">
        <v>60</v>
      </c>
      <c r="D42" s="73" t="s">
        <v>14</v>
      </c>
      <c r="E42" s="76">
        <v>1036</v>
      </c>
      <c r="F42" s="75">
        <f>ROUND(T42*$T$10,2)</f>
        <v>62.75</v>
      </c>
      <c r="G42" s="75">
        <f>ROUND(F42*(1+$U$1),2)</f>
        <v>80.06</v>
      </c>
      <c r="H42" s="76">
        <f>ROUND(E42*G42,2)</f>
        <v>82942.16</v>
      </c>
      <c r="I42" s="76"/>
      <c r="J42" s="76"/>
      <c r="K42" s="75">
        <f>E42-I42</f>
        <v>1036</v>
      </c>
      <c r="L42" s="76">
        <f>ROUND(E42*F42,2)</f>
        <v>65009</v>
      </c>
      <c r="M42" s="76">
        <f>I42*G42</f>
        <v>0</v>
      </c>
      <c r="N42" s="76">
        <f>J42*G42</f>
        <v>0</v>
      </c>
      <c r="O42" s="76">
        <f>H42-N42</f>
        <v>82942.16</v>
      </c>
      <c r="P42" s="90">
        <f>N42/H42</f>
        <v>0</v>
      </c>
      <c r="Q42" s="51"/>
      <c r="T42" s="53">
        <v>62.75</v>
      </c>
    </row>
    <row r="43" spans="1:20" s="56" customFormat="1" ht="12" x14ac:dyDescent="0.2">
      <c r="A43" s="94">
        <v>92763</v>
      </c>
      <c r="B43" s="73" t="s">
        <v>61</v>
      </c>
      <c r="C43" s="74" t="s">
        <v>62</v>
      </c>
      <c r="D43" s="73" t="s">
        <v>35</v>
      </c>
      <c r="E43" s="76">
        <v>3423</v>
      </c>
      <c r="F43" s="75">
        <f>ROUND(T43*$T$10,2)</f>
        <v>5.22</v>
      </c>
      <c r="G43" s="75">
        <f>ROUND(F43*(1+$U$1),2)</f>
        <v>6.66</v>
      </c>
      <c r="H43" s="76">
        <f>ROUND(E43*G43,2)</f>
        <v>22797.18</v>
      </c>
      <c r="I43" s="76"/>
      <c r="J43" s="76"/>
      <c r="K43" s="75">
        <f>E43-I43</f>
        <v>3423</v>
      </c>
      <c r="L43" s="76">
        <f>ROUND(E43*F43,2)</f>
        <v>17868.060000000001</v>
      </c>
      <c r="M43" s="76">
        <f>I43*G43</f>
        <v>0</v>
      </c>
      <c r="N43" s="76">
        <f>J43*G43</f>
        <v>0</v>
      </c>
      <c r="O43" s="76">
        <f>H43-N43</f>
        <v>22797.18</v>
      </c>
      <c r="P43" s="90">
        <f>N43/H43</f>
        <v>0</v>
      </c>
      <c r="Q43" s="51"/>
      <c r="T43" s="53">
        <v>5.22</v>
      </c>
    </row>
    <row r="44" spans="1:20" s="56" customFormat="1" ht="12" x14ac:dyDescent="0.2">
      <c r="A44" s="94">
        <v>94965</v>
      </c>
      <c r="B44" s="73" t="s">
        <v>63</v>
      </c>
      <c r="C44" s="74" t="s">
        <v>30</v>
      </c>
      <c r="D44" s="73" t="s">
        <v>48</v>
      </c>
      <c r="E44" s="75">
        <v>47.9</v>
      </c>
      <c r="F44" s="75">
        <f>ROUND(T44*$T$10,2)</f>
        <v>302.64</v>
      </c>
      <c r="G44" s="75">
        <f>ROUND(F44*(1+$U$1),2)</f>
        <v>386.14</v>
      </c>
      <c r="H44" s="76">
        <f>ROUND(E44*G44,2)</f>
        <v>18496.11</v>
      </c>
      <c r="I44" s="75"/>
      <c r="J44" s="75"/>
      <c r="K44" s="75">
        <f>E44-I44</f>
        <v>47.9</v>
      </c>
      <c r="L44" s="76">
        <f>ROUND(E44*F44,2)</f>
        <v>14496.46</v>
      </c>
      <c r="M44" s="76">
        <f>I44*G44</f>
        <v>0</v>
      </c>
      <c r="N44" s="76">
        <f>J44*G44</f>
        <v>0</v>
      </c>
      <c r="O44" s="76">
        <f>H44-N44</f>
        <v>18496.11</v>
      </c>
      <c r="P44" s="90">
        <f>N44/H44</f>
        <v>0</v>
      </c>
      <c r="Q44" s="51"/>
      <c r="T44" s="53">
        <v>302.64</v>
      </c>
    </row>
    <row r="45" spans="1:20" s="56" customFormat="1" ht="24" x14ac:dyDescent="0.2">
      <c r="A45" s="94">
        <v>92873</v>
      </c>
      <c r="B45" s="73" t="s">
        <v>64</v>
      </c>
      <c r="C45" s="74" t="s">
        <v>32</v>
      </c>
      <c r="D45" s="73" t="s">
        <v>48</v>
      </c>
      <c r="E45" s="75">
        <v>47.9</v>
      </c>
      <c r="F45" s="75">
        <f>ROUND(T45*$T$10,2)</f>
        <v>135.94</v>
      </c>
      <c r="G45" s="75">
        <f>ROUND(F45*(1+$U$1),2)</f>
        <v>173.45</v>
      </c>
      <c r="H45" s="76">
        <f>ROUND(E45*G45,2)</f>
        <v>8308.26</v>
      </c>
      <c r="I45" s="75"/>
      <c r="J45" s="75"/>
      <c r="K45" s="75">
        <f>E45-I45</f>
        <v>47.9</v>
      </c>
      <c r="L45" s="76">
        <f>ROUND(E45*F45,2)</f>
        <v>6511.53</v>
      </c>
      <c r="M45" s="76">
        <f>I45*G45</f>
        <v>0</v>
      </c>
      <c r="N45" s="76">
        <f>J45*G45</f>
        <v>0</v>
      </c>
      <c r="O45" s="76">
        <f>H45-N45</f>
        <v>8308.26</v>
      </c>
      <c r="P45" s="90">
        <f>N45/H45</f>
        <v>0</v>
      </c>
      <c r="Q45" s="51"/>
      <c r="T45" s="53">
        <v>135.94</v>
      </c>
    </row>
    <row r="46" spans="1:20" s="56" customFormat="1" ht="12" x14ac:dyDescent="0.2">
      <c r="A46" s="72"/>
      <c r="B46" s="70" t="s">
        <v>65</v>
      </c>
      <c r="C46" s="71" t="s">
        <v>66</v>
      </c>
      <c r="D46" s="72"/>
      <c r="E46" s="72"/>
      <c r="F46" s="75"/>
      <c r="G46" s="72"/>
      <c r="H46" s="72"/>
      <c r="I46" s="72"/>
      <c r="J46" s="72"/>
      <c r="K46" s="72"/>
      <c r="L46" s="72"/>
      <c r="M46" s="72"/>
      <c r="N46" s="72"/>
      <c r="O46" s="76"/>
      <c r="P46" s="90"/>
      <c r="Q46" s="52"/>
      <c r="T46" s="52"/>
    </row>
    <row r="47" spans="1:20" s="56" customFormat="1" ht="12" x14ac:dyDescent="0.2">
      <c r="A47" s="94">
        <v>92265</v>
      </c>
      <c r="B47" s="73" t="s">
        <v>67</v>
      </c>
      <c r="C47" s="74" t="s">
        <v>44</v>
      </c>
      <c r="D47" s="73" t="s">
        <v>14</v>
      </c>
      <c r="E47" s="75">
        <v>370.9</v>
      </c>
      <c r="F47" s="75">
        <f>ROUND(T47*$T$10,2)</f>
        <v>60.66</v>
      </c>
      <c r="G47" s="75">
        <f>ROUND(F47*(1+$U$1),2)</f>
        <v>77.400000000000006</v>
      </c>
      <c r="H47" s="76">
        <f>ROUND(E47*G47,2)</f>
        <v>28707.66</v>
      </c>
      <c r="I47" s="75"/>
      <c r="J47" s="75"/>
      <c r="K47" s="75">
        <f>E47-I47</f>
        <v>370.9</v>
      </c>
      <c r="L47" s="76">
        <f>ROUND(E47*F47,2)</f>
        <v>22498.79</v>
      </c>
      <c r="M47" s="76">
        <f>I47*G47</f>
        <v>0</v>
      </c>
      <c r="N47" s="76">
        <f>J47*G47</f>
        <v>0</v>
      </c>
      <c r="O47" s="76">
        <f>H47-N47</f>
        <v>28707.66</v>
      </c>
      <c r="P47" s="90">
        <f>N47/H47</f>
        <v>0</v>
      </c>
      <c r="Q47" s="51"/>
      <c r="T47" s="53">
        <v>60.66</v>
      </c>
    </row>
    <row r="48" spans="1:20" s="56" customFormat="1" ht="12" x14ac:dyDescent="0.2">
      <c r="A48" s="94">
        <v>92762</v>
      </c>
      <c r="B48" s="73" t="s">
        <v>68</v>
      </c>
      <c r="C48" s="74" t="s">
        <v>46</v>
      </c>
      <c r="D48" s="73" t="s">
        <v>35</v>
      </c>
      <c r="E48" s="76">
        <v>6724.2</v>
      </c>
      <c r="F48" s="75">
        <f>ROUND(T48*$T$10,2)</f>
        <v>5.86</v>
      </c>
      <c r="G48" s="75">
        <f>ROUND(F48*(1+$U$1),2)</f>
        <v>7.48</v>
      </c>
      <c r="H48" s="76">
        <f>ROUND(E48*G48,2)</f>
        <v>50297.02</v>
      </c>
      <c r="I48" s="76"/>
      <c r="J48" s="76"/>
      <c r="K48" s="75">
        <f>E48-I48</f>
        <v>6724.2</v>
      </c>
      <c r="L48" s="76">
        <f>ROUND(E48*F48,2)</f>
        <v>39403.81</v>
      </c>
      <c r="M48" s="76">
        <f>I48*G48</f>
        <v>0</v>
      </c>
      <c r="N48" s="76">
        <f>J48*G48</f>
        <v>0</v>
      </c>
      <c r="O48" s="76">
        <f>H48-N48</f>
        <v>50297.02</v>
      </c>
      <c r="P48" s="90">
        <f>N48/H48</f>
        <v>0</v>
      </c>
      <c r="Q48" s="51"/>
      <c r="T48" s="53">
        <v>5.86</v>
      </c>
    </row>
    <row r="49" spans="1:20" s="56" customFormat="1" ht="12" x14ac:dyDescent="0.2">
      <c r="A49" s="94">
        <v>94965</v>
      </c>
      <c r="B49" s="73" t="s">
        <v>69</v>
      </c>
      <c r="C49" s="74" t="s">
        <v>30</v>
      </c>
      <c r="D49" s="73" t="s">
        <v>48</v>
      </c>
      <c r="E49" s="75">
        <v>35.9</v>
      </c>
      <c r="F49" s="75">
        <f>ROUND(T49*$T$10,2)</f>
        <v>302.64</v>
      </c>
      <c r="G49" s="75">
        <f>ROUND(F49*(1+$U$1),2)</f>
        <v>386.14</v>
      </c>
      <c r="H49" s="76">
        <f>ROUND(E49*G49,2)</f>
        <v>13862.43</v>
      </c>
      <c r="I49" s="75"/>
      <c r="J49" s="75"/>
      <c r="K49" s="75">
        <f>E49-I49</f>
        <v>35.9</v>
      </c>
      <c r="L49" s="76">
        <f>ROUND(E49*F49,2)</f>
        <v>10864.78</v>
      </c>
      <c r="M49" s="76">
        <f>I49*G49</f>
        <v>0</v>
      </c>
      <c r="N49" s="76">
        <f>J49*G49</f>
        <v>0</v>
      </c>
      <c r="O49" s="76">
        <f>H49-N49</f>
        <v>13862.43</v>
      </c>
      <c r="P49" s="90">
        <f>N49/H49</f>
        <v>0</v>
      </c>
      <c r="Q49" s="51"/>
      <c r="T49" s="53">
        <v>302.64</v>
      </c>
    </row>
    <row r="50" spans="1:20" s="56" customFormat="1" ht="24" x14ac:dyDescent="0.2">
      <c r="A50" s="94">
        <v>92873</v>
      </c>
      <c r="B50" s="73" t="s">
        <v>70</v>
      </c>
      <c r="C50" s="74" t="s">
        <v>32</v>
      </c>
      <c r="D50" s="73" t="s">
        <v>48</v>
      </c>
      <c r="E50" s="75">
        <v>35.9</v>
      </c>
      <c r="F50" s="75">
        <f>ROUND(T50*$T$10,2)</f>
        <v>135.94</v>
      </c>
      <c r="G50" s="75">
        <f>ROUND(F50*(1+$U$1),2)</f>
        <v>173.45</v>
      </c>
      <c r="H50" s="76">
        <f>ROUND(E50*G50,2)</f>
        <v>6226.86</v>
      </c>
      <c r="I50" s="75"/>
      <c r="J50" s="75"/>
      <c r="K50" s="75">
        <f>E50-I50</f>
        <v>35.9</v>
      </c>
      <c r="L50" s="76">
        <f>ROUND(E50*F50,2)</f>
        <v>4880.25</v>
      </c>
      <c r="M50" s="76">
        <f>I50*G50</f>
        <v>0</v>
      </c>
      <c r="N50" s="76">
        <f>J50*G50</f>
        <v>0</v>
      </c>
      <c r="O50" s="76">
        <f>H50-N50</f>
        <v>6226.86</v>
      </c>
      <c r="P50" s="90">
        <f>N50/H50</f>
        <v>0</v>
      </c>
      <c r="Q50" s="51"/>
      <c r="T50" s="53">
        <v>135.94</v>
      </c>
    </row>
    <row r="51" spans="1:20" s="56" customFormat="1" ht="12" x14ac:dyDescent="0.2">
      <c r="A51" s="72"/>
      <c r="B51" s="71"/>
      <c r="C51" s="71"/>
      <c r="D51" s="71"/>
      <c r="E51" s="71"/>
      <c r="F51" s="75"/>
      <c r="G51" s="77" t="s">
        <v>71</v>
      </c>
      <c r="H51" s="78">
        <f>SUM(H32:H50)</f>
        <v>354685.87999999995</v>
      </c>
      <c r="I51" s="71"/>
      <c r="J51" s="71"/>
      <c r="K51" s="71"/>
      <c r="L51" s="78">
        <f>SUM(L32:L50)</f>
        <v>277961.7</v>
      </c>
      <c r="M51" s="78">
        <f>SUM(M32:M50)</f>
        <v>25696.800000000003</v>
      </c>
      <c r="N51" s="78">
        <f>SUM(N32:N50)</f>
        <v>25696.800000000003</v>
      </c>
      <c r="O51" s="78">
        <f>SUM(O32:O50)</f>
        <v>328989.07999999996</v>
      </c>
      <c r="P51" s="91">
        <f>N51/H51</f>
        <v>7.2449458659025301E-2</v>
      </c>
      <c r="Q51" s="60">
        <f>H51-N51</f>
        <v>328989.07999999996</v>
      </c>
      <c r="R51" s="58"/>
      <c r="T51" s="59"/>
    </row>
    <row r="52" spans="1:20" s="56" customFormat="1" ht="12" x14ac:dyDescent="0.2">
      <c r="A52" s="72"/>
      <c r="B52" s="70" t="s">
        <v>72</v>
      </c>
      <c r="C52" s="71" t="s">
        <v>73</v>
      </c>
      <c r="D52" s="72"/>
      <c r="E52" s="72"/>
      <c r="F52" s="75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52"/>
      <c r="T52" s="52"/>
    </row>
    <row r="53" spans="1:20" s="56" customFormat="1" ht="12" x14ac:dyDescent="0.2">
      <c r="A53" s="72"/>
      <c r="B53" s="73" t="s">
        <v>74</v>
      </c>
      <c r="C53" s="71" t="s">
        <v>75</v>
      </c>
      <c r="D53" s="72"/>
      <c r="E53" s="72"/>
      <c r="F53" s="75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52"/>
      <c r="T53" s="52"/>
    </row>
    <row r="54" spans="1:20" s="56" customFormat="1" ht="12" x14ac:dyDescent="0.2">
      <c r="A54" s="94">
        <v>87479</v>
      </c>
      <c r="B54" s="73" t="s">
        <v>76</v>
      </c>
      <c r="C54" s="74" t="s">
        <v>77</v>
      </c>
      <c r="D54" s="73" t="s">
        <v>14</v>
      </c>
      <c r="E54" s="75">
        <v>153.47</v>
      </c>
      <c r="F54" s="75">
        <f t="shared" ref="F54:F60" si="0">ROUND(T54*$T$10,2)</f>
        <v>41.64</v>
      </c>
      <c r="G54" s="75">
        <f t="shared" ref="G54:G60" si="1">ROUND(F54*(1+$U$1),2)</f>
        <v>53.13</v>
      </c>
      <c r="H54" s="76">
        <f t="shared" ref="H54:H60" si="2">ROUND(E54*G54,2)</f>
        <v>8153.86</v>
      </c>
      <c r="I54" s="75">
        <v>153.47</v>
      </c>
      <c r="J54" s="75">
        <f t="shared" ref="J54:J60" si="3">I54</f>
        <v>153.47</v>
      </c>
      <c r="K54" s="75">
        <f t="shared" ref="K54:K60" si="4">E54-I54</f>
        <v>0</v>
      </c>
      <c r="L54" s="76">
        <f t="shared" ref="L54:L60" si="5">ROUND(E54*F54,2)</f>
        <v>6390.49</v>
      </c>
      <c r="M54" s="76">
        <f t="shared" ref="M54:M60" si="6">I54*G54</f>
        <v>8153.8611000000001</v>
      </c>
      <c r="N54" s="76">
        <f t="shared" ref="N54:N60" si="7">J54*G54</f>
        <v>8153.8611000000001</v>
      </c>
      <c r="O54" s="76">
        <f t="shared" ref="O54:O60" si="8">H54-N54</f>
        <v>-1.1000000004059984E-3</v>
      </c>
      <c r="P54" s="90">
        <f t="shared" ref="P54:P61" si="9">N54/H54</f>
        <v>1.0000001349054313</v>
      </c>
      <c r="Q54" s="51"/>
      <c r="T54" s="53">
        <v>41.64</v>
      </c>
    </row>
    <row r="55" spans="1:20" s="56" customFormat="1" ht="12" x14ac:dyDescent="0.2">
      <c r="A55" s="73" t="s">
        <v>78</v>
      </c>
      <c r="B55" s="73" t="s">
        <v>79</v>
      </c>
      <c r="C55" s="74" t="s">
        <v>80</v>
      </c>
      <c r="D55" s="73" t="s">
        <v>81</v>
      </c>
      <c r="E55" s="75">
        <v>32.5</v>
      </c>
      <c r="F55" s="75">
        <f t="shared" si="0"/>
        <v>7.91</v>
      </c>
      <c r="G55" s="75">
        <f t="shared" si="1"/>
        <v>10.09</v>
      </c>
      <c r="H55" s="76">
        <f t="shared" si="2"/>
        <v>327.93</v>
      </c>
      <c r="I55" s="75">
        <v>32.5</v>
      </c>
      <c r="J55" s="75">
        <f t="shared" si="3"/>
        <v>32.5</v>
      </c>
      <c r="K55" s="75">
        <f t="shared" si="4"/>
        <v>0</v>
      </c>
      <c r="L55" s="76">
        <f t="shared" si="5"/>
        <v>257.08</v>
      </c>
      <c r="M55" s="76">
        <f t="shared" si="6"/>
        <v>327.92500000000001</v>
      </c>
      <c r="N55" s="76">
        <f t="shared" si="7"/>
        <v>327.92500000000001</v>
      </c>
      <c r="O55" s="76">
        <f t="shared" si="8"/>
        <v>4.9999999999954525E-3</v>
      </c>
      <c r="P55" s="90">
        <f t="shared" si="9"/>
        <v>0.99998475284359467</v>
      </c>
      <c r="Q55" s="51"/>
      <c r="T55" s="53">
        <v>7.91</v>
      </c>
    </row>
    <row r="56" spans="1:20" s="56" customFormat="1" ht="24" x14ac:dyDescent="0.2">
      <c r="A56" s="73" t="s">
        <v>82</v>
      </c>
      <c r="B56" s="73" t="s">
        <v>83</v>
      </c>
      <c r="C56" s="74" t="s">
        <v>84</v>
      </c>
      <c r="D56" s="73" t="s">
        <v>14</v>
      </c>
      <c r="E56" s="75">
        <v>27.15</v>
      </c>
      <c r="F56" s="75">
        <f t="shared" si="0"/>
        <v>53.52</v>
      </c>
      <c r="G56" s="75">
        <f t="shared" si="1"/>
        <v>68.290000000000006</v>
      </c>
      <c r="H56" s="76">
        <f t="shared" si="2"/>
        <v>1854.07</v>
      </c>
      <c r="I56" s="75"/>
      <c r="J56" s="75">
        <f t="shared" si="3"/>
        <v>0</v>
      </c>
      <c r="K56" s="75">
        <f t="shared" si="4"/>
        <v>27.15</v>
      </c>
      <c r="L56" s="76">
        <f t="shared" si="5"/>
        <v>1453.07</v>
      </c>
      <c r="M56" s="76">
        <f t="shared" si="6"/>
        <v>0</v>
      </c>
      <c r="N56" s="76">
        <f t="shared" si="7"/>
        <v>0</v>
      </c>
      <c r="O56" s="76">
        <f t="shared" si="8"/>
        <v>1854.07</v>
      </c>
      <c r="P56" s="90">
        <f t="shared" si="9"/>
        <v>0</v>
      </c>
      <c r="Q56" s="51"/>
      <c r="T56" s="53">
        <v>53.52</v>
      </c>
    </row>
    <row r="57" spans="1:20" s="56" customFormat="1" ht="24" x14ac:dyDescent="0.2">
      <c r="A57" s="73" t="s">
        <v>85</v>
      </c>
      <c r="B57" s="73" t="s">
        <v>86</v>
      </c>
      <c r="C57" s="74" t="s">
        <v>87</v>
      </c>
      <c r="D57" s="73" t="s">
        <v>14</v>
      </c>
      <c r="E57" s="75">
        <v>45.99</v>
      </c>
      <c r="F57" s="75">
        <f t="shared" si="0"/>
        <v>203.72</v>
      </c>
      <c r="G57" s="75">
        <f t="shared" si="1"/>
        <v>259.93</v>
      </c>
      <c r="H57" s="76">
        <f t="shared" si="2"/>
        <v>11954.18</v>
      </c>
      <c r="I57" s="75"/>
      <c r="J57" s="75">
        <f t="shared" si="3"/>
        <v>0</v>
      </c>
      <c r="K57" s="75">
        <f t="shared" si="4"/>
        <v>45.99</v>
      </c>
      <c r="L57" s="76">
        <f t="shared" si="5"/>
        <v>9369.08</v>
      </c>
      <c r="M57" s="76">
        <f t="shared" si="6"/>
        <v>0</v>
      </c>
      <c r="N57" s="76">
        <f t="shared" si="7"/>
        <v>0</v>
      </c>
      <c r="O57" s="76">
        <f t="shared" si="8"/>
        <v>11954.18</v>
      </c>
      <c r="P57" s="90">
        <f t="shared" si="9"/>
        <v>0</v>
      </c>
      <c r="Q57" s="51"/>
      <c r="T57" s="53">
        <v>203.72</v>
      </c>
    </row>
    <row r="58" spans="1:20" s="56" customFormat="1" ht="24" x14ac:dyDescent="0.2">
      <c r="A58" s="73" t="s">
        <v>88</v>
      </c>
      <c r="B58" s="73" t="s">
        <v>89</v>
      </c>
      <c r="C58" s="74" t="s">
        <v>90</v>
      </c>
      <c r="D58" s="73" t="s">
        <v>14</v>
      </c>
      <c r="E58" s="75">
        <v>52.74</v>
      </c>
      <c r="F58" s="75">
        <f t="shared" si="0"/>
        <v>310.44</v>
      </c>
      <c r="G58" s="75">
        <f t="shared" si="1"/>
        <v>396.09</v>
      </c>
      <c r="H58" s="76">
        <f t="shared" si="2"/>
        <v>20889.79</v>
      </c>
      <c r="I58" s="75"/>
      <c r="J58" s="75">
        <f t="shared" si="3"/>
        <v>0</v>
      </c>
      <c r="K58" s="75">
        <f t="shared" si="4"/>
        <v>52.74</v>
      </c>
      <c r="L58" s="76">
        <f t="shared" si="5"/>
        <v>16372.61</v>
      </c>
      <c r="M58" s="76">
        <f t="shared" si="6"/>
        <v>0</v>
      </c>
      <c r="N58" s="76">
        <f t="shared" si="7"/>
        <v>0</v>
      </c>
      <c r="O58" s="76">
        <f t="shared" si="8"/>
        <v>20889.79</v>
      </c>
      <c r="P58" s="90">
        <f t="shared" si="9"/>
        <v>0</v>
      </c>
      <c r="Q58" s="51"/>
      <c r="T58" s="53">
        <v>310.44</v>
      </c>
    </row>
    <row r="59" spans="1:20" s="56" customFormat="1" ht="12" x14ac:dyDescent="0.2">
      <c r="A59" s="94">
        <v>93187</v>
      </c>
      <c r="B59" s="73" t="s">
        <v>91</v>
      </c>
      <c r="C59" s="74" t="s">
        <v>92</v>
      </c>
      <c r="D59" s="73" t="s">
        <v>81</v>
      </c>
      <c r="E59" s="75">
        <v>228</v>
      </c>
      <c r="F59" s="75">
        <f t="shared" si="0"/>
        <v>52.6</v>
      </c>
      <c r="G59" s="75">
        <f t="shared" si="1"/>
        <v>67.11</v>
      </c>
      <c r="H59" s="76">
        <f t="shared" si="2"/>
        <v>15301.08</v>
      </c>
      <c r="I59" s="75">
        <v>15.7</v>
      </c>
      <c r="J59" s="75">
        <f t="shared" si="3"/>
        <v>15.7</v>
      </c>
      <c r="K59" s="75">
        <f t="shared" si="4"/>
        <v>212.3</v>
      </c>
      <c r="L59" s="76">
        <f t="shared" si="5"/>
        <v>11992.8</v>
      </c>
      <c r="M59" s="76">
        <f t="shared" si="6"/>
        <v>1053.627</v>
      </c>
      <c r="N59" s="76">
        <f t="shared" si="7"/>
        <v>1053.627</v>
      </c>
      <c r="O59" s="76">
        <f t="shared" si="8"/>
        <v>14247.453</v>
      </c>
      <c r="P59" s="90">
        <f t="shared" si="9"/>
        <v>6.885964912280701E-2</v>
      </c>
      <c r="Q59" s="51"/>
      <c r="T59" s="53">
        <v>52.6</v>
      </c>
    </row>
    <row r="60" spans="1:20" s="56" customFormat="1" ht="12" x14ac:dyDescent="0.2">
      <c r="A60" s="94">
        <v>93197</v>
      </c>
      <c r="B60" s="73" t="s">
        <v>93</v>
      </c>
      <c r="C60" s="74" t="s">
        <v>94</v>
      </c>
      <c r="D60" s="73" t="s">
        <v>81</v>
      </c>
      <c r="E60" s="75">
        <v>101.36</v>
      </c>
      <c r="F60" s="75">
        <f t="shared" si="0"/>
        <v>49.48</v>
      </c>
      <c r="G60" s="75">
        <f t="shared" si="1"/>
        <v>63.13</v>
      </c>
      <c r="H60" s="76">
        <f t="shared" si="2"/>
        <v>6398.86</v>
      </c>
      <c r="I60" s="75">
        <v>50.17</v>
      </c>
      <c r="J60" s="75">
        <f t="shared" si="3"/>
        <v>50.17</v>
      </c>
      <c r="K60" s="75">
        <f t="shared" si="4"/>
        <v>51.19</v>
      </c>
      <c r="L60" s="76">
        <f t="shared" si="5"/>
        <v>5015.29</v>
      </c>
      <c r="M60" s="76">
        <f t="shared" si="6"/>
        <v>3167.2321000000002</v>
      </c>
      <c r="N60" s="76">
        <f t="shared" si="7"/>
        <v>3167.2321000000002</v>
      </c>
      <c r="O60" s="76">
        <f t="shared" si="8"/>
        <v>3231.6278999999995</v>
      </c>
      <c r="P60" s="90">
        <f t="shared" si="9"/>
        <v>0.49496818183238894</v>
      </c>
      <c r="Q60" s="51"/>
      <c r="T60" s="53">
        <v>49.48</v>
      </c>
    </row>
    <row r="61" spans="1:20" s="56" customFormat="1" ht="12" x14ac:dyDescent="0.2">
      <c r="A61" s="72"/>
      <c r="B61" s="71"/>
      <c r="C61" s="71"/>
      <c r="D61" s="71"/>
      <c r="E61" s="71"/>
      <c r="F61" s="75"/>
      <c r="G61" s="77" t="s">
        <v>95</v>
      </c>
      <c r="H61" s="78">
        <f>SUM(H54:H60)</f>
        <v>64879.770000000004</v>
      </c>
      <c r="I61" s="71"/>
      <c r="J61" s="71"/>
      <c r="K61" s="71"/>
      <c r="L61" s="78">
        <f>SUM(L54:L60)</f>
        <v>50850.420000000006</v>
      </c>
      <c r="M61" s="78">
        <f>SUM(M54:M60)</f>
        <v>12702.645199999999</v>
      </c>
      <c r="N61" s="78">
        <f>SUM(N54:N60)</f>
        <v>12702.645199999999</v>
      </c>
      <c r="O61" s="78">
        <f>SUM(O54:O60)</f>
        <v>52177.124800000005</v>
      </c>
      <c r="P61" s="91">
        <f t="shared" si="9"/>
        <v>0.19578745732298369</v>
      </c>
      <c r="Q61" s="60">
        <f>H61-N61</f>
        <v>52177.124800000005</v>
      </c>
      <c r="T61" s="59"/>
    </row>
    <row r="62" spans="1:20" s="56" customFormat="1" ht="12" x14ac:dyDescent="0.2">
      <c r="A62" s="72"/>
      <c r="B62" s="70" t="s">
        <v>96</v>
      </c>
      <c r="C62" s="71" t="s">
        <v>97</v>
      </c>
      <c r="D62" s="72"/>
      <c r="E62" s="72"/>
      <c r="F62" s="75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52"/>
      <c r="T62" s="52"/>
    </row>
    <row r="63" spans="1:20" s="56" customFormat="1" ht="12" x14ac:dyDescent="0.2">
      <c r="A63" s="72"/>
      <c r="B63" s="73" t="s">
        <v>98</v>
      </c>
      <c r="C63" s="71" t="s">
        <v>99</v>
      </c>
      <c r="D63" s="72"/>
      <c r="E63" s="72"/>
      <c r="F63" s="75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52"/>
      <c r="T63" s="52"/>
    </row>
    <row r="64" spans="1:20" s="56" customFormat="1" ht="12" x14ac:dyDescent="0.2">
      <c r="A64" s="94">
        <v>90822</v>
      </c>
      <c r="B64" s="73" t="s">
        <v>100</v>
      </c>
      <c r="C64" s="74" t="s">
        <v>101</v>
      </c>
      <c r="D64" s="73" t="s">
        <v>102</v>
      </c>
      <c r="E64" s="75">
        <v>14</v>
      </c>
      <c r="F64" s="75">
        <f t="shared" ref="F64:F70" si="10">ROUND(T64*$T$10,2)</f>
        <v>329.55</v>
      </c>
      <c r="G64" s="75">
        <f t="shared" ref="G64:G70" si="11">ROUND(F64*(1+$U$1),2)</f>
        <v>420.47</v>
      </c>
      <c r="H64" s="76">
        <f t="shared" ref="H64:H70" si="12">ROUND(E64*G64,2)</f>
        <v>5886.58</v>
      </c>
      <c r="I64" s="75"/>
      <c r="J64" s="75"/>
      <c r="K64" s="75">
        <f t="shared" ref="K64:K70" si="13">E64-I64</f>
        <v>14</v>
      </c>
      <c r="L64" s="76">
        <f t="shared" ref="L64:L70" si="14">ROUND(E64*F64,2)</f>
        <v>4613.7</v>
      </c>
      <c r="M64" s="76">
        <f t="shared" ref="M64:M70" si="15">I64*G64</f>
        <v>0</v>
      </c>
      <c r="N64" s="76">
        <f t="shared" ref="N64:N70" si="16">J64*G64</f>
        <v>0</v>
      </c>
      <c r="O64" s="76">
        <f t="shared" ref="O64:O70" si="17">H64-N64</f>
        <v>5886.58</v>
      </c>
      <c r="P64" s="76"/>
      <c r="Q64" s="51"/>
      <c r="T64" s="53">
        <v>329.55</v>
      </c>
    </row>
    <row r="65" spans="1:20" s="56" customFormat="1" ht="12" x14ac:dyDescent="0.2">
      <c r="A65" s="73" t="s">
        <v>78</v>
      </c>
      <c r="B65" s="73" t="s">
        <v>103</v>
      </c>
      <c r="C65" s="74" t="s">
        <v>104</v>
      </c>
      <c r="D65" s="73" t="s">
        <v>102</v>
      </c>
      <c r="E65" s="75">
        <v>4</v>
      </c>
      <c r="F65" s="75">
        <f t="shared" si="10"/>
        <v>395.46</v>
      </c>
      <c r="G65" s="75">
        <f t="shared" si="11"/>
        <v>504.57</v>
      </c>
      <c r="H65" s="76">
        <f t="shared" si="12"/>
        <v>2018.28</v>
      </c>
      <c r="I65" s="75"/>
      <c r="J65" s="75"/>
      <c r="K65" s="75">
        <f t="shared" si="13"/>
        <v>4</v>
      </c>
      <c r="L65" s="76">
        <f t="shared" si="14"/>
        <v>1581.84</v>
      </c>
      <c r="M65" s="76">
        <f t="shared" si="15"/>
        <v>0</v>
      </c>
      <c r="N65" s="76">
        <f t="shared" si="16"/>
        <v>0</v>
      </c>
      <c r="O65" s="76">
        <f t="shared" si="17"/>
        <v>2018.28</v>
      </c>
      <c r="P65" s="76"/>
      <c r="Q65" s="51"/>
      <c r="T65" s="53">
        <v>395.46</v>
      </c>
    </row>
    <row r="66" spans="1:20" s="56" customFormat="1" ht="12" x14ac:dyDescent="0.2">
      <c r="A66" s="73" t="s">
        <v>78</v>
      </c>
      <c r="B66" s="73" t="s">
        <v>105</v>
      </c>
      <c r="C66" s="74" t="s">
        <v>106</v>
      </c>
      <c r="D66" s="73" t="s">
        <v>102</v>
      </c>
      <c r="E66" s="75">
        <v>14</v>
      </c>
      <c r="F66" s="75">
        <f t="shared" si="10"/>
        <v>222.6</v>
      </c>
      <c r="G66" s="75">
        <f t="shared" si="11"/>
        <v>284.02</v>
      </c>
      <c r="H66" s="76">
        <f t="shared" si="12"/>
        <v>3976.28</v>
      </c>
      <c r="I66" s="75"/>
      <c r="J66" s="75"/>
      <c r="K66" s="75">
        <f t="shared" si="13"/>
        <v>14</v>
      </c>
      <c r="L66" s="76">
        <f t="shared" si="14"/>
        <v>3116.4</v>
      </c>
      <c r="M66" s="76">
        <f t="shared" si="15"/>
        <v>0</v>
      </c>
      <c r="N66" s="76">
        <f t="shared" si="16"/>
        <v>0</v>
      </c>
      <c r="O66" s="76">
        <f t="shared" si="17"/>
        <v>3976.28</v>
      </c>
      <c r="P66" s="76"/>
      <c r="Q66" s="51"/>
      <c r="T66" s="53">
        <v>222.6</v>
      </c>
    </row>
    <row r="67" spans="1:20" s="56" customFormat="1" ht="24" x14ac:dyDescent="0.2">
      <c r="A67" s="73" t="s">
        <v>78</v>
      </c>
      <c r="B67" s="73" t="s">
        <v>107</v>
      </c>
      <c r="C67" s="74" t="s">
        <v>108</v>
      </c>
      <c r="D67" s="73" t="s">
        <v>102</v>
      </c>
      <c r="E67" s="75">
        <v>6</v>
      </c>
      <c r="F67" s="75">
        <f t="shared" si="10"/>
        <v>222.6</v>
      </c>
      <c r="G67" s="75">
        <f t="shared" si="11"/>
        <v>284.02</v>
      </c>
      <c r="H67" s="76">
        <f t="shared" si="12"/>
        <v>1704.12</v>
      </c>
      <c r="I67" s="75"/>
      <c r="J67" s="75"/>
      <c r="K67" s="75">
        <f t="shared" si="13"/>
        <v>6</v>
      </c>
      <c r="L67" s="76">
        <f t="shared" si="14"/>
        <v>1335.6</v>
      </c>
      <c r="M67" s="76">
        <f t="shared" si="15"/>
        <v>0</v>
      </c>
      <c r="N67" s="76">
        <f t="shared" si="16"/>
        <v>0</v>
      </c>
      <c r="O67" s="76">
        <f t="shared" si="17"/>
        <v>1704.12</v>
      </c>
      <c r="P67" s="76"/>
      <c r="Q67" s="51"/>
      <c r="T67" s="53">
        <v>222.6</v>
      </c>
    </row>
    <row r="68" spans="1:20" s="56" customFormat="1" ht="12" x14ac:dyDescent="0.2">
      <c r="A68" s="94">
        <v>90820</v>
      </c>
      <c r="B68" s="73" t="s">
        <v>109</v>
      </c>
      <c r="C68" s="74" t="s">
        <v>110</v>
      </c>
      <c r="D68" s="73" t="s">
        <v>102</v>
      </c>
      <c r="E68" s="75">
        <v>4</v>
      </c>
      <c r="F68" s="75">
        <f t="shared" si="10"/>
        <v>308.93</v>
      </c>
      <c r="G68" s="75">
        <f t="shared" si="11"/>
        <v>394.16</v>
      </c>
      <c r="H68" s="76">
        <f t="shared" si="12"/>
        <v>1576.64</v>
      </c>
      <c r="I68" s="75"/>
      <c r="J68" s="75"/>
      <c r="K68" s="75">
        <f t="shared" si="13"/>
        <v>4</v>
      </c>
      <c r="L68" s="76">
        <f t="shared" si="14"/>
        <v>1235.72</v>
      </c>
      <c r="M68" s="76">
        <f t="shared" si="15"/>
        <v>0</v>
      </c>
      <c r="N68" s="76">
        <f t="shared" si="16"/>
        <v>0</v>
      </c>
      <c r="O68" s="76">
        <f t="shared" si="17"/>
        <v>1576.64</v>
      </c>
      <c r="P68" s="76"/>
      <c r="Q68" s="51"/>
      <c r="T68" s="53">
        <v>308.93</v>
      </c>
    </row>
    <row r="69" spans="1:20" s="56" customFormat="1" ht="12" x14ac:dyDescent="0.2">
      <c r="A69" s="73" t="s">
        <v>78</v>
      </c>
      <c r="B69" s="73" t="s">
        <v>111</v>
      </c>
      <c r="C69" s="74" t="s">
        <v>112</v>
      </c>
      <c r="D69" s="73" t="s">
        <v>102</v>
      </c>
      <c r="E69" s="75">
        <v>18</v>
      </c>
      <c r="F69" s="75">
        <f t="shared" si="10"/>
        <v>378.98</v>
      </c>
      <c r="G69" s="75">
        <f t="shared" si="11"/>
        <v>483.54</v>
      </c>
      <c r="H69" s="76">
        <f t="shared" si="12"/>
        <v>8703.7199999999993</v>
      </c>
      <c r="I69" s="75"/>
      <c r="J69" s="75"/>
      <c r="K69" s="75">
        <f t="shared" si="13"/>
        <v>18</v>
      </c>
      <c r="L69" s="76">
        <f t="shared" si="14"/>
        <v>6821.64</v>
      </c>
      <c r="M69" s="76">
        <f t="shared" si="15"/>
        <v>0</v>
      </c>
      <c r="N69" s="76">
        <f t="shared" si="16"/>
        <v>0</v>
      </c>
      <c r="O69" s="76">
        <f t="shared" si="17"/>
        <v>8703.7199999999993</v>
      </c>
      <c r="P69" s="76"/>
      <c r="Q69" s="51"/>
      <c r="T69" s="53">
        <v>378.98</v>
      </c>
    </row>
    <row r="70" spans="1:20" s="56" customFormat="1" ht="12" x14ac:dyDescent="0.2">
      <c r="A70" s="73" t="s">
        <v>78</v>
      </c>
      <c r="B70" s="73" t="s">
        <v>113</v>
      </c>
      <c r="C70" s="74" t="s">
        <v>114</v>
      </c>
      <c r="D70" s="73" t="s">
        <v>102</v>
      </c>
      <c r="E70" s="75">
        <v>6</v>
      </c>
      <c r="F70" s="75">
        <f t="shared" si="10"/>
        <v>421.82</v>
      </c>
      <c r="G70" s="75">
        <f t="shared" si="11"/>
        <v>538.20000000000005</v>
      </c>
      <c r="H70" s="76">
        <f t="shared" si="12"/>
        <v>3229.2</v>
      </c>
      <c r="I70" s="75"/>
      <c r="J70" s="75"/>
      <c r="K70" s="75">
        <f t="shared" si="13"/>
        <v>6</v>
      </c>
      <c r="L70" s="76">
        <f t="shared" si="14"/>
        <v>2530.92</v>
      </c>
      <c r="M70" s="76">
        <f t="shared" si="15"/>
        <v>0</v>
      </c>
      <c r="N70" s="76">
        <f t="shared" si="16"/>
        <v>0</v>
      </c>
      <c r="O70" s="76">
        <f t="shared" si="17"/>
        <v>3229.2</v>
      </c>
      <c r="P70" s="76"/>
      <c r="Q70" s="51"/>
      <c r="T70" s="53">
        <v>421.82</v>
      </c>
    </row>
    <row r="71" spans="1:20" s="56" customFormat="1" ht="12" x14ac:dyDescent="0.2">
      <c r="A71" s="72"/>
      <c r="B71" s="71"/>
      <c r="C71" s="71"/>
      <c r="D71" s="71"/>
      <c r="E71" s="71"/>
      <c r="F71" s="75"/>
      <c r="G71" s="77" t="s">
        <v>115</v>
      </c>
      <c r="H71" s="78">
        <f>SUM(H64:H70)</f>
        <v>27094.819999999996</v>
      </c>
      <c r="I71" s="71"/>
      <c r="J71" s="71"/>
      <c r="K71" s="71"/>
      <c r="L71" s="78">
        <f>SUM(L64:L70)</f>
        <v>21235.82</v>
      </c>
      <c r="M71" s="78">
        <f>SUM(M64:M70)</f>
        <v>0</v>
      </c>
      <c r="N71" s="78">
        <f>SUM(N64:N70)</f>
        <v>0</v>
      </c>
      <c r="O71" s="78">
        <f>SUM(O64:O70)</f>
        <v>27094.819999999996</v>
      </c>
      <c r="P71" s="78"/>
      <c r="Q71" s="60">
        <f>H71-N71</f>
        <v>27094.819999999996</v>
      </c>
      <c r="T71" s="59"/>
    </row>
    <row r="72" spans="1:20" s="56" customFormat="1" ht="12" x14ac:dyDescent="0.2">
      <c r="A72" s="72"/>
      <c r="B72" s="70" t="s">
        <v>116</v>
      </c>
      <c r="C72" s="71" t="s">
        <v>117</v>
      </c>
      <c r="D72" s="71"/>
      <c r="E72" s="71"/>
      <c r="F72" s="75"/>
      <c r="G72" s="71"/>
      <c r="H72" s="72"/>
      <c r="I72" s="71"/>
      <c r="J72" s="71"/>
      <c r="K72" s="71"/>
      <c r="L72" s="71"/>
      <c r="M72" s="72"/>
      <c r="N72" s="72"/>
      <c r="O72" s="72"/>
      <c r="P72" s="72"/>
      <c r="Q72" s="52"/>
      <c r="T72" s="59"/>
    </row>
    <row r="73" spans="1:20" s="56" customFormat="1" ht="12" x14ac:dyDescent="0.2">
      <c r="A73" s="72"/>
      <c r="B73" s="70" t="s">
        <v>118</v>
      </c>
      <c r="C73" s="71" t="s">
        <v>119</v>
      </c>
      <c r="D73" s="72"/>
      <c r="E73" s="72"/>
      <c r="F73" s="75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52"/>
      <c r="T73" s="52"/>
    </row>
    <row r="74" spans="1:20" s="56" customFormat="1" ht="12" x14ac:dyDescent="0.2">
      <c r="A74" s="73" t="s">
        <v>120</v>
      </c>
      <c r="B74" s="73" t="s">
        <v>121</v>
      </c>
      <c r="C74" s="74" t="s">
        <v>122</v>
      </c>
      <c r="D74" s="73" t="s">
        <v>102</v>
      </c>
      <c r="E74" s="75">
        <v>2</v>
      </c>
      <c r="F74" s="75">
        <f>ROUND(T74*$T$10,2)</f>
        <v>329.82</v>
      </c>
      <c r="G74" s="75">
        <f>ROUND(F74*(1+$U$1),2)</f>
        <v>420.82</v>
      </c>
      <c r="H74" s="76">
        <f>ROUND(E74*G74,2)</f>
        <v>841.64</v>
      </c>
      <c r="I74" s="75"/>
      <c r="J74" s="75"/>
      <c r="K74" s="75">
        <f>E74-I74</f>
        <v>2</v>
      </c>
      <c r="L74" s="76">
        <f>ROUND(E74*F74,2)</f>
        <v>659.64</v>
      </c>
      <c r="M74" s="76">
        <f>I74*G74</f>
        <v>0</v>
      </c>
      <c r="N74" s="76">
        <f>J74*G74</f>
        <v>0</v>
      </c>
      <c r="O74" s="76">
        <f>H74-N74</f>
        <v>841.64</v>
      </c>
      <c r="P74" s="76"/>
      <c r="Q74" s="51"/>
      <c r="T74" s="53">
        <v>329.82</v>
      </c>
    </row>
    <row r="75" spans="1:20" s="56" customFormat="1" ht="12" x14ac:dyDescent="0.2">
      <c r="A75" s="72"/>
      <c r="B75" s="70" t="s">
        <v>123</v>
      </c>
      <c r="C75" s="71" t="s">
        <v>124</v>
      </c>
      <c r="D75" s="72"/>
      <c r="E75" s="72"/>
      <c r="F75" s="75"/>
      <c r="G75" s="72"/>
      <c r="H75" s="72"/>
      <c r="I75" s="72"/>
      <c r="J75" s="72"/>
      <c r="K75" s="72"/>
      <c r="L75" s="72"/>
      <c r="M75" s="76"/>
      <c r="N75" s="76"/>
      <c r="O75" s="76"/>
      <c r="P75" s="72"/>
      <c r="Q75" s="52"/>
      <c r="T75" s="52"/>
    </row>
    <row r="76" spans="1:20" s="56" customFormat="1" ht="12" x14ac:dyDescent="0.2">
      <c r="A76" s="73" t="s">
        <v>78</v>
      </c>
      <c r="B76" s="73" t="s">
        <v>125</v>
      </c>
      <c r="C76" s="74" t="s">
        <v>126</v>
      </c>
      <c r="D76" s="73" t="s">
        <v>102</v>
      </c>
      <c r="E76" s="75">
        <v>6</v>
      </c>
      <c r="F76" s="75">
        <f t="shared" ref="F76:F95" si="18">ROUND(T76*$T$10,2)</f>
        <v>179.33</v>
      </c>
      <c r="G76" s="75">
        <f t="shared" ref="G76:G95" si="19">ROUND(F76*(1+$U$1),2)</f>
        <v>228.81</v>
      </c>
      <c r="H76" s="76">
        <f t="shared" ref="H76:H95" si="20">ROUND(E76*G76,2)</f>
        <v>1372.86</v>
      </c>
      <c r="I76" s="75"/>
      <c r="J76" s="75"/>
      <c r="K76" s="75">
        <f t="shared" ref="K76:K95" si="21">E76-I76</f>
        <v>6</v>
      </c>
      <c r="L76" s="76">
        <f t="shared" ref="L76:L95" si="22">ROUND(E76*F76,2)</f>
        <v>1075.98</v>
      </c>
      <c r="M76" s="76">
        <f t="shared" ref="M76:M95" si="23">I76*G76</f>
        <v>0</v>
      </c>
      <c r="N76" s="76">
        <f t="shared" ref="N76:N95" si="24">J76*G76</f>
        <v>0</v>
      </c>
      <c r="O76" s="76">
        <f t="shared" ref="O76:O95" si="25">H76-N76</f>
        <v>1372.86</v>
      </c>
      <c r="P76" s="76"/>
      <c r="Q76" s="51"/>
      <c r="T76" s="53">
        <v>179.33</v>
      </c>
    </row>
    <row r="77" spans="1:20" s="56" customFormat="1" ht="12" x14ac:dyDescent="0.2">
      <c r="A77" s="73" t="s">
        <v>78</v>
      </c>
      <c r="B77" s="73" t="s">
        <v>127</v>
      </c>
      <c r="C77" s="74" t="s">
        <v>128</v>
      </c>
      <c r="D77" s="73" t="s">
        <v>102</v>
      </c>
      <c r="E77" s="75">
        <v>15</v>
      </c>
      <c r="F77" s="75">
        <f t="shared" si="18"/>
        <v>268.98</v>
      </c>
      <c r="G77" s="75">
        <f t="shared" si="19"/>
        <v>343.19</v>
      </c>
      <c r="H77" s="76">
        <f t="shared" si="20"/>
        <v>5147.8500000000004</v>
      </c>
      <c r="I77" s="75"/>
      <c r="J77" s="75"/>
      <c r="K77" s="75">
        <f t="shared" si="21"/>
        <v>15</v>
      </c>
      <c r="L77" s="76">
        <f t="shared" si="22"/>
        <v>4034.7</v>
      </c>
      <c r="M77" s="76">
        <f t="shared" si="23"/>
        <v>0</v>
      </c>
      <c r="N77" s="76">
        <f t="shared" si="24"/>
        <v>0</v>
      </c>
      <c r="O77" s="76">
        <f t="shared" si="25"/>
        <v>5147.8500000000004</v>
      </c>
      <c r="P77" s="76"/>
      <c r="Q77" s="51"/>
      <c r="T77" s="53">
        <v>268.98</v>
      </c>
    </row>
    <row r="78" spans="1:20" s="56" customFormat="1" ht="12" x14ac:dyDescent="0.2">
      <c r="A78" s="73" t="s">
        <v>78</v>
      </c>
      <c r="B78" s="73" t="s">
        <v>129</v>
      </c>
      <c r="C78" s="74" t="s">
        <v>130</v>
      </c>
      <c r="D78" s="73" t="s">
        <v>102</v>
      </c>
      <c r="E78" s="75">
        <v>2</v>
      </c>
      <c r="F78" s="75">
        <f t="shared" si="18"/>
        <v>134.49</v>
      </c>
      <c r="G78" s="75">
        <f t="shared" si="19"/>
        <v>171.6</v>
      </c>
      <c r="H78" s="76">
        <f t="shared" si="20"/>
        <v>343.2</v>
      </c>
      <c r="I78" s="75"/>
      <c r="J78" s="75"/>
      <c r="K78" s="75">
        <f t="shared" si="21"/>
        <v>2</v>
      </c>
      <c r="L78" s="76">
        <f t="shared" si="22"/>
        <v>268.98</v>
      </c>
      <c r="M78" s="76">
        <f t="shared" si="23"/>
        <v>0</v>
      </c>
      <c r="N78" s="76">
        <f t="shared" si="24"/>
        <v>0</v>
      </c>
      <c r="O78" s="76">
        <f t="shared" si="25"/>
        <v>343.2</v>
      </c>
      <c r="P78" s="76"/>
      <c r="Q78" s="51"/>
      <c r="T78" s="53">
        <v>134.49</v>
      </c>
    </row>
    <row r="79" spans="1:20" s="56" customFormat="1" ht="12" x14ac:dyDescent="0.2">
      <c r="A79" s="73" t="s">
        <v>78</v>
      </c>
      <c r="B79" s="73" t="s">
        <v>131</v>
      </c>
      <c r="C79" s="74" t="s">
        <v>132</v>
      </c>
      <c r="D79" s="73" t="s">
        <v>102</v>
      </c>
      <c r="E79" s="75">
        <v>10</v>
      </c>
      <c r="F79" s="75">
        <f t="shared" si="18"/>
        <v>313.92</v>
      </c>
      <c r="G79" s="75">
        <f t="shared" si="19"/>
        <v>400.53</v>
      </c>
      <c r="H79" s="76">
        <f t="shared" si="20"/>
        <v>4005.3</v>
      </c>
      <c r="I79" s="75"/>
      <c r="J79" s="75"/>
      <c r="K79" s="75">
        <f t="shared" si="21"/>
        <v>10</v>
      </c>
      <c r="L79" s="76">
        <f t="shared" si="22"/>
        <v>3139.2</v>
      </c>
      <c r="M79" s="76">
        <f t="shared" si="23"/>
        <v>0</v>
      </c>
      <c r="N79" s="76">
        <f t="shared" si="24"/>
        <v>0</v>
      </c>
      <c r="O79" s="76">
        <f t="shared" si="25"/>
        <v>4005.3</v>
      </c>
      <c r="P79" s="76"/>
      <c r="Q79" s="51"/>
      <c r="T79" s="53">
        <v>313.92</v>
      </c>
    </row>
    <row r="80" spans="1:20" s="56" customFormat="1" ht="12" x14ac:dyDescent="0.2">
      <c r="A80" s="73" t="s">
        <v>78</v>
      </c>
      <c r="B80" s="73" t="s">
        <v>133</v>
      </c>
      <c r="C80" s="74" t="s">
        <v>134</v>
      </c>
      <c r="D80" s="73" t="s">
        <v>102</v>
      </c>
      <c r="E80" s="75">
        <v>8</v>
      </c>
      <c r="F80" s="75">
        <f t="shared" si="18"/>
        <v>627.62</v>
      </c>
      <c r="G80" s="75">
        <f t="shared" si="19"/>
        <v>800.78</v>
      </c>
      <c r="H80" s="76">
        <f t="shared" si="20"/>
        <v>6406.24</v>
      </c>
      <c r="I80" s="75"/>
      <c r="J80" s="75"/>
      <c r="K80" s="75">
        <f t="shared" si="21"/>
        <v>8</v>
      </c>
      <c r="L80" s="76">
        <f t="shared" si="22"/>
        <v>5020.96</v>
      </c>
      <c r="M80" s="76">
        <f t="shared" si="23"/>
        <v>0</v>
      </c>
      <c r="N80" s="76">
        <f t="shared" si="24"/>
        <v>0</v>
      </c>
      <c r="O80" s="76">
        <f t="shared" si="25"/>
        <v>6406.24</v>
      </c>
      <c r="P80" s="76"/>
      <c r="Q80" s="51"/>
      <c r="T80" s="53">
        <v>627.62</v>
      </c>
    </row>
    <row r="81" spans="1:20" s="56" customFormat="1" ht="12" x14ac:dyDescent="0.2">
      <c r="A81" s="73" t="s">
        <v>78</v>
      </c>
      <c r="B81" s="73" t="s">
        <v>135</v>
      </c>
      <c r="C81" s="74" t="s">
        <v>136</v>
      </c>
      <c r="D81" s="73" t="s">
        <v>102</v>
      </c>
      <c r="E81" s="75">
        <v>2</v>
      </c>
      <c r="F81" s="75">
        <f t="shared" si="18"/>
        <v>358.64</v>
      </c>
      <c r="G81" s="75">
        <f t="shared" si="19"/>
        <v>457.59</v>
      </c>
      <c r="H81" s="76">
        <f t="shared" si="20"/>
        <v>915.18</v>
      </c>
      <c r="I81" s="75"/>
      <c r="J81" s="75"/>
      <c r="K81" s="75">
        <f t="shared" si="21"/>
        <v>2</v>
      </c>
      <c r="L81" s="76">
        <f t="shared" si="22"/>
        <v>717.28</v>
      </c>
      <c r="M81" s="76">
        <f t="shared" si="23"/>
        <v>0</v>
      </c>
      <c r="N81" s="76">
        <f t="shared" si="24"/>
        <v>0</v>
      </c>
      <c r="O81" s="76">
        <f t="shared" si="25"/>
        <v>915.18</v>
      </c>
      <c r="P81" s="76"/>
      <c r="Q81" s="51"/>
      <c r="T81" s="53">
        <v>358.64</v>
      </c>
    </row>
    <row r="82" spans="1:20" s="56" customFormat="1" ht="12" x14ac:dyDescent="0.2">
      <c r="A82" s="73" t="s">
        <v>78</v>
      </c>
      <c r="B82" s="73" t="s">
        <v>137</v>
      </c>
      <c r="C82" s="74" t="s">
        <v>138</v>
      </c>
      <c r="D82" s="73" t="s">
        <v>102</v>
      </c>
      <c r="E82" s="75">
        <v>2</v>
      </c>
      <c r="F82" s="75">
        <f t="shared" si="18"/>
        <v>448.3</v>
      </c>
      <c r="G82" s="75">
        <f t="shared" si="19"/>
        <v>571.99</v>
      </c>
      <c r="H82" s="76">
        <f t="shared" si="20"/>
        <v>1143.98</v>
      </c>
      <c r="I82" s="75"/>
      <c r="J82" s="75"/>
      <c r="K82" s="75">
        <f t="shared" si="21"/>
        <v>2</v>
      </c>
      <c r="L82" s="76">
        <f t="shared" si="22"/>
        <v>896.6</v>
      </c>
      <c r="M82" s="76">
        <f t="shared" si="23"/>
        <v>0</v>
      </c>
      <c r="N82" s="76">
        <f t="shared" si="24"/>
        <v>0</v>
      </c>
      <c r="O82" s="76">
        <f t="shared" si="25"/>
        <v>1143.98</v>
      </c>
      <c r="P82" s="76"/>
      <c r="Q82" s="51"/>
      <c r="T82" s="53">
        <v>448.3</v>
      </c>
    </row>
    <row r="83" spans="1:20" s="56" customFormat="1" ht="12" x14ac:dyDescent="0.2">
      <c r="A83" s="73" t="s">
        <v>78</v>
      </c>
      <c r="B83" s="73" t="s">
        <v>139</v>
      </c>
      <c r="C83" s="74" t="s">
        <v>140</v>
      </c>
      <c r="D83" s="73" t="s">
        <v>102</v>
      </c>
      <c r="E83" s="75">
        <v>14</v>
      </c>
      <c r="F83" s="75">
        <f t="shared" si="18"/>
        <v>124.52</v>
      </c>
      <c r="G83" s="75">
        <f t="shared" si="19"/>
        <v>158.88</v>
      </c>
      <c r="H83" s="76">
        <f t="shared" si="20"/>
        <v>2224.3200000000002</v>
      </c>
      <c r="I83" s="75"/>
      <c r="J83" s="75"/>
      <c r="K83" s="75">
        <f t="shared" si="21"/>
        <v>14</v>
      </c>
      <c r="L83" s="76">
        <f t="shared" si="22"/>
        <v>1743.28</v>
      </c>
      <c r="M83" s="76">
        <f t="shared" si="23"/>
        <v>0</v>
      </c>
      <c r="N83" s="76">
        <f t="shared" si="24"/>
        <v>0</v>
      </c>
      <c r="O83" s="76">
        <f t="shared" si="25"/>
        <v>2224.3200000000002</v>
      </c>
      <c r="P83" s="76"/>
      <c r="Q83" s="51"/>
      <c r="T83" s="53">
        <v>124.52</v>
      </c>
    </row>
    <row r="84" spans="1:20" s="56" customFormat="1" ht="12" x14ac:dyDescent="0.2">
      <c r="A84" s="73" t="s">
        <v>78</v>
      </c>
      <c r="B84" s="73" t="s">
        <v>141</v>
      </c>
      <c r="C84" s="74" t="s">
        <v>142</v>
      </c>
      <c r="D84" s="73" t="s">
        <v>102</v>
      </c>
      <c r="E84" s="75">
        <v>1</v>
      </c>
      <c r="F84" s="75">
        <f t="shared" si="18"/>
        <v>390.13</v>
      </c>
      <c r="G84" s="75">
        <f t="shared" si="19"/>
        <v>497.77</v>
      </c>
      <c r="H84" s="76">
        <f t="shared" si="20"/>
        <v>497.77</v>
      </c>
      <c r="I84" s="75"/>
      <c r="J84" s="75"/>
      <c r="K84" s="75">
        <f t="shared" si="21"/>
        <v>1</v>
      </c>
      <c r="L84" s="76">
        <f t="shared" si="22"/>
        <v>390.13</v>
      </c>
      <c r="M84" s="76">
        <f t="shared" si="23"/>
        <v>0</v>
      </c>
      <c r="N84" s="76">
        <f t="shared" si="24"/>
        <v>0</v>
      </c>
      <c r="O84" s="76">
        <f t="shared" si="25"/>
        <v>497.77</v>
      </c>
      <c r="P84" s="76"/>
      <c r="Q84" s="51"/>
      <c r="T84" s="53">
        <v>390.13</v>
      </c>
    </row>
    <row r="85" spans="1:20" s="56" customFormat="1" ht="12" x14ac:dyDescent="0.2">
      <c r="A85" s="73" t="s">
        <v>78</v>
      </c>
      <c r="B85" s="73" t="s">
        <v>143</v>
      </c>
      <c r="C85" s="74" t="s">
        <v>144</v>
      </c>
      <c r="D85" s="73" t="s">
        <v>102</v>
      </c>
      <c r="E85" s="75">
        <v>1</v>
      </c>
      <c r="F85" s="75">
        <f t="shared" si="18"/>
        <v>975.33</v>
      </c>
      <c r="G85" s="75">
        <f t="shared" si="19"/>
        <v>1244.42</v>
      </c>
      <c r="H85" s="76">
        <f t="shared" si="20"/>
        <v>1244.42</v>
      </c>
      <c r="I85" s="75"/>
      <c r="J85" s="75"/>
      <c r="K85" s="75">
        <f t="shared" si="21"/>
        <v>1</v>
      </c>
      <c r="L85" s="76">
        <f t="shared" si="22"/>
        <v>975.33</v>
      </c>
      <c r="M85" s="76">
        <f t="shared" si="23"/>
        <v>0</v>
      </c>
      <c r="N85" s="76">
        <f t="shared" si="24"/>
        <v>0</v>
      </c>
      <c r="O85" s="76">
        <f t="shared" si="25"/>
        <v>1244.42</v>
      </c>
      <c r="P85" s="76"/>
      <c r="Q85" s="51"/>
      <c r="T85" s="53">
        <v>975.33</v>
      </c>
    </row>
    <row r="86" spans="1:20" s="56" customFormat="1" ht="12" x14ac:dyDescent="0.2">
      <c r="A86" s="73" t="s">
        <v>78</v>
      </c>
      <c r="B86" s="73" t="s">
        <v>145</v>
      </c>
      <c r="C86" s="74" t="s">
        <v>146</v>
      </c>
      <c r="D86" s="73" t="s">
        <v>102</v>
      </c>
      <c r="E86" s="75">
        <v>2</v>
      </c>
      <c r="F86" s="75">
        <f t="shared" si="18"/>
        <v>585.20000000000005</v>
      </c>
      <c r="G86" s="75">
        <f t="shared" si="19"/>
        <v>746.66</v>
      </c>
      <c r="H86" s="76">
        <f t="shared" si="20"/>
        <v>1493.32</v>
      </c>
      <c r="I86" s="75"/>
      <c r="J86" s="75"/>
      <c r="K86" s="75">
        <f t="shared" si="21"/>
        <v>2</v>
      </c>
      <c r="L86" s="76">
        <f t="shared" si="22"/>
        <v>1170.4000000000001</v>
      </c>
      <c r="M86" s="76">
        <f t="shared" si="23"/>
        <v>0</v>
      </c>
      <c r="N86" s="76">
        <f t="shared" si="24"/>
        <v>0</v>
      </c>
      <c r="O86" s="76">
        <f t="shared" si="25"/>
        <v>1493.32</v>
      </c>
      <c r="P86" s="76"/>
      <c r="Q86" s="51"/>
      <c r="T86" s="53">
        <v>585.20000000000005</v>
      </c>
    </row>
    <row r="87" spans="1:20" s="56" customFormat="1" ht="12" x14ac:dyDescent="0.2">
      <c r="A87" s="73" t="s">
        <v>78</v>
      </c>
      <c r="B87" s="73" t="s">
        <v>147</v>
      </c>
      <c r="C87" s="74" t="s">
        <v>148</v>
      </c>
      <c r="D87" s="73" t="s">
        <v>102</v>
      </c>
      <c r="E87" s="75">
        <v>1</v>
      </c>
      <c r="F87" s="75">
        <f t="shared" si="18"/>
        <v>877.8</v>
      </c>
      <c r="G87" s="75">
        <f t="shared" si="19"/>
        <v>1119.99</v>
      </c>
      <c r="H87" s="76">
        <f t="shared" si="20"/>
        <v>1119.99</v>
      </c>
      <c r="I87" s="75"/>
      <c r="J87" s="75"/>
      <c r="K87" s="75">
        <f t="shared" si="21"/>
        <v>1</v>
      </c>
      <c r="L87" s="76">
        <f t="shared" si="22"/>
        <v>877.8</v>
      </c>
      <c r="M87" s="76">
        <f t="shared" si="23"/>
        <v>0</v>
      </c>
      <c r="N87" s="76">
        <f t="shared" si="24"/>
        <v>0</v>
      </c>
      <c r="O87" s="76">
        <f t="shared" si="25"/>
        <v>1119.99</v>
      </c>
      <c r="P87" s="76"/>
      <c r="Q87" s="51"/>
      <c r="T87" s="53">
        <v>877.8</v>
      </c>
    </row>
    <row r="88" spans="1:20" s="56" customFormat="1" ht="12" x14ac:dyDescent="0.2">
      <c r="A88" s="73" t="s">
        <v>78</v>
      </c>
      <c r="B88" s="73" t="s">
        <v>149</v>
      </c>
      <c r="C88" s="74" t="s">
        <v>150</v>
      </c>
      <c r="D88" s="73" t="s">
        <v>102</v>
      </c>
      <c r="E88" s="75">
        <v>1</v>
      </c>
      <c r="F88" s="75">
        <f t="shared" si="18"/>
        <v>1170.4100000000001</v>
      </c>
      <c r="G88" s="75">
        <f t="shared" si="19"/>
        <v>1493.33</v>
      </c>
      <c r="H88" s="76">
        <f t="shared" si="20"/>
        <v>1493.33</v>
      </c>
      <c r="I88" s="75"/>
      <c r="J88" s="75"/>
      <c r="K88" s="75">
        <f t="shared" si="21"/>
        <v>1</v>
      </c>
      <c r="L88" s="76">
        <f t="shared" si="22"/>
        <v>1170.4100000000001</v>
      </c>
      <c r="M88" s="76">
        <f t="shared" si="23"/>
        <v>0</v>
      </c>
      <c r="N88" s="76">
        <f t="shared" si="24"/>
        <v>0</v>
      </c>
      <c r="O88" s="76">
        <f t="shared" si="25"/>
        <v>1493.33</v>
      </c>
      <c r="P88" s="76"/>
      <c r="Q88" s="51"/>
      <c r="T88" s="51">
        <v>1170.4100000000001</v>
      </c>
    </row>
    <row r="89" spans="1:20" s="56" customFormat="1" ht="12" x14ac:dyDescent="0.2">
      <c r="A89" s="73" t="s">
        <v>78</v>
      </c>
      <c r="B89" s="73" t="s">
        <v>151</v>
      </c>
      <c r="C89" s="74" t="s">
        <v>152</v>
      </c>
      <c r="D89" s="73" t="s">
        <v>102</v>
      </c>
      <c r="E89" s="75">
        <v>2</v>
      </c>
      <c r="F89" s="75">
        <f t="shared" si="18"/>
        <v>1560.54</v>
      </c>
      <c r="G89" s="75">
        <f t="shared" si="19"/>
        <v>1991.09</v>
      </c>
      <c r="H89" s="76">
        <f t="shared" si="20"/>
        <v>3982.18</v>
      </c>
      <c r="I89" s="75"/>
      <c r="J89" s="75"/>
      <c r="K89" s="75">
        <f t="shared" si="21"/>
        <v>2</v>
      </c>
      <c r="L89" s="76">
        <f t="shared" si="22"/>
        <v>3121.08</v>
      </c>
      <c r="M89" s="76">
        <f t="shared" si="23"/>
        <v>0</v>
      </c>
      <c r="N89" s="76">
        <f t="shared" si="24"/>
        <v>0</v>
      </c>
      <c r="O89" s="76">
        <f t="shared" si="25"/>
        <v>3982.18</v>
      </c>
      <c r="P89" s="76"/>
      <c r="Q89" s="51"/>
      <c r="T89" s="51">
        <v>1560.54</v>
      </c>
    </row>
    <row r="90" spans="1:20" s="56" customFormat="1" ht="12" x14ac:dyDescent="0.2">
      <c r="A90" s="73" t="s">
        <v>78</v>
      </c>
      <c r="B90" s="73" t="s">
        <v>153</v>
      </c>
      <c r="C90" s="74" t="s">
        <v>154</v>
      </c>
      <c r="D90" s="73" t="s">
        <v>102</v>
      </c>
      <c r="E90" s="75">
        <v>2</v>
      </c>
      <c r="F90" s="75">
        <f t="shared" si="18"/>
        <v>1950.67</v>
      </c>
      <c r="G90" s="75">
        <f t="shared" si="19"/>
        <v>2488.86</v>
      </c>
      <c r="H90" s="76">
        <f t="shared" si="20"/>
        <v>4977.72</v>
      </c>
      <c r="I90" s="75"/>
      <c r="J90" s="75"/>
      <c r="K90" s="75">
        <f t="shared" si="21"/>
        <v>2</v>
      </c>
      <c r="L90" s="76">
        <f t="shared" si="22"/>
        <v>3901.34</v>
      </c>
      <c r="M90" s="76">
        <f t="shared" si="23"/>
        <v>0</v>
      </c>
      <c r="N90" s="76">
        <f t="shared" si="24"/>
        <v>0</v>
      </c>
      <c r="O90" s="76">
        <f t="shared" si="25"/>
        <v>4977.72</v>
      </c>
      <c r="P90" s="76"/>
      <c r="Q90" s="51"/>
      <c r="T90" s="51">
        <v>1950.67</v>
      </c>
    </row>
    <row r="91" spans="1:20" s="56" customFormat="1" ht="12" x14ac:dyDescent="0.2">
      <c r="A91" s="73" t="s">
        <v>78</v>
      </c>
      <c r="B91" s="73" t="s">
        <v>155</v>
      </c>
      <c r="C91" s="74" t="s">
        <v>156</v>
      </c>
      <c r="D91" s="73" t="s">
        <v>102</v>
      </c>
      <c r="E91" s="75">
        <v>5</v>
      </c>
      <c r="F91" s="75">
        <f t="shared" si="18"/>
        <v>2340.81</v>
      </c>
      <c r="G91" s="75">
        <f t="shared" si="19"/>
        <v>2986.64</v>
      </c>
      <c r="H91" s="76">
        <f t="shared" si="20"/>
        <v>14933.2</v>
      </c>
      <c r="I91" s="75"/>
      <c r="J91" s="75"/>
      <c r="K91" s="75">
        <f t="shared" si="21"/>
        <v>5</v>
      </c>
      <c r="L91" s="76">
        <f t="shared" si="22"/>
        <v>11704.05</v>
      </c>
      <c r="M91" s="76">
        <f t="shared" si="23"/>
        <v>0</v>
      </c>
      <c r="N91" s="76">
        <f t="shared" si="24"/>
        <v>0</v>
      </c>
      <c r="O91" s="76">
        <f t="shared" si="25"/>
        <v>14933.2</v>
      </c>
      <c r="P91" s="76"/>
      <c r="Q91" s="51"/>
      <c r="T91" s="51">
        <v>2340.81</v>
      </c>
    </row>
    <row r="92" spans="1:20" s="56" customFormat="1" ht="12" x14ac:dyDescent="0.2">
      <c r="A92" s="73" t="s">
        <v>78</v>
      </c>
      <c r="B92" s="73" t="s">
        <v>157</v>
      </c>
      <c r="C92" s="74" t="s">
        <v>158</v>
      </c>
      <c r="D92" s="73" t="s">
        <v>102</v>
      </c>
      <c r="E92" s="75">
        <v>4</v>
      </c>
      <c r="F92" s="75">
        <f t="shared" si="18"/>
        <v>3121.08</v>
      </c>
      <c r="G92" s="75">
        <f t="shared" si="19"/>
        <v>3982.19</v>
      </c>
      <c r="H92" s="76">
        <f t="shared" si="20"/>
        <v>15928.76</v>
      </c>
      <c r="I92" s="75"/>
      <c r="J92" s="75"/>
      <c r="K92" s="75">
        <f t="shared" si="21"/>
        <v>4</v>
      </c>
      <c r="L92" s="76">
        <f t="shared" si="22"/>
        <v>12484.32</v>
      </c>
      <c r="M92" s="76">
        <f t="shared" si="23"/>
        <v>0</v>
      </c>
      <c r="N92" s="76">
        <f t="shared" si="24"/>
        <v>0</v>
      </c>
      <c r="O92" s="76">
        <f t="shared" si="25"/>
        <v>15928.76</v>
      </c>
      <c r="P92" s="76"/>
      <c r="Q92" s="51"/>
      <c r="T92" s="51">
        <v>3121.08</v>
      </c>
    </row>
    <row r="93" spans="1:20" s="56" customFormat="1" ht="12" x14ac:dyDescent="0.2">
      <c r="A93" s="73" t="s">
        <v>78</v>
      </c>
      <c r="B93" s="73" t="s">
        <v>159</v>
      </c>
      <c r="C93" s="74" t="s">
        <v>160</v>
      </c>
      <c r="D93" s="73" t="s">
        <v>102</v>
      </c>
      <c r="E93" s="75">
        <v>1</v>
      </c>
      <c r="F93" s="75">
        <f t="shared" si="18"/>
        <v>1137.9000000000001</v>
      </c>
      <c r="G93" s="75">
        <f t="shared" si="19"/>
        <v>1451.85</v>
      </c>
      <c r="H93" s="76">
        <f t="shared" si="20"/>
        <v>1451.85</v>
      </c>
      <c r="I93" s="75"/>
      <c r="J93" s="75"/>
      <c r="K93" s="75">
        <f t="shared" si="21"/>
        <v>1</v>
      </c>
      <c r="L93" s="76">
        <f t="shared" si="22"/>
        <v>1137.9000000000001</v>
      </c>
      <c r="M93" s="76">
        <f t="shared" si="23"/>
        <v>0</v>
      </c>
      <c r="N93" s="76">
        <f t="shared" si="24"/>
        <v>0</v>
      </c>
      <c r="O93" s="76">
        <f t="shared" si="25"/>
        <v>1451.85</v>
      </c>
      <c r="P93" s="76"/>
      <c r="Q93" s="51"/>
      <c r="T93" s="51">
        <v>1137.9000000000001</v>
      </c>
    </row>
    <row r="94" spans="1:20" s="56" customFormat="1" ht="12" x14ac:dyDescent="0.2">
      <c r="A94" s="73" t="s">
        <v>161</v>
      </c>
      <c r="B94" s="73" t="s">
        <v>162</v>
      </c>
      <c r="C94" s="74" t="s">
        <v>163</v>
      </c>
      <c r="D94" s="73" t="s">
        <v>14</v>
      </c>
      <c r="E94" s="75">
        <v>10.26</v>
      </c>
      <c r="F94" s="75">
        <f t="shared" si="18"/>
        <v>18.63</v>
      </c>
      <c r="G94" s="75">
        <f t="shared" si="19"/>
        <v>23.77</v>
      </c>
      <c r="H94" s="76">
        <f t="shared" si="20"/>
        <v>243.88</v>
      </c>
      <c r="I94" s="75"/>
      <c r="J94" s="75"/>
      <c r="K94" s="75">
        <f t="shared" si="21"/>
        <v>10.26</v>
      </c>
      <c r="L94" s="76">
        <f t="shared" si="22"/>
        <v>191.14</v>
      </c>
      <c r="M94" s="76">
        <f t="shared" si="23"/>
        <v>0</v>
      </c>
      <c r="N94" s="76">
        <f t="shared" si="24"/>
        <v>0</v>
      </c>
      <c r="O94" s="76">
        <f t="shared" si="25"/>
        <v>243.88</v>
      </c>
      <c r="P94" s="76"/>
      <c r="Q94" s="51"/>
      <c r="T94" s="53">
        <v>18.63</v>
      </c>
    </row>
    <row r="95" spans="1:20" s="56" customFormat="1" ht="24" x14ac:dyDescent="0.2">
      <c r="A95" s="73" t="s">
        <v>120</v>
      </c>
      <c r="B95" s="73" t="s">
        <v>164</v>
      </c>
      <c r="C95" s="74" t="s">
        <v>165</v>
      </c>
      <c r="D95" s="73" t="s">
        <v>102</v>
      </c>
      <c r="E95" s="75">
        <v>9</v>
      </c>
      <c r="F95" s="75">
        <f t="shared" si="18"/>
        <v>582.46</v>
      </c>
      <c r="G95" s="75">
        <f t="shared" si="19"/>
        <v>743.16</v>
      </c>
      <c r="H95" s="76">
        <f t="shared" si="20"/>
        <v>6688.44</v>
      </c>
      <c r="I95" s="75"/>
      <c r="J95" s="75"/>
      <c r="K95" s="75">
        <f t="shared" si="21"/>
        <v>9</v>
      </c>
      <c r="L95" s="76">
        <f t="shared" si="22"/>
        <v>5242.1400000000003</v>
      </c>
      <c r="M95" s="76">
        <f t="shared" si="23"/>
        <v>0</v>
      </c>
      <c r="N95" s="76">
        <f t="shared" si="24"/>
        <v>0</v>
      </c>
      <c r="O95" s="76">
        <f t="shared" si="25"/>
        <v>6688.44</v>
      </c>
      <c r="P95" s="76"/>
      <c r="Q95" s="51"/>
      <c r="T95" s="53">
        <v>582.46</v>
      </c>
    </row>
    <row r="96" spans="1:20" s="56" customFormat="1" ht="12" x14ac:dyDescent="0.2">
      <c r="A96" s="72"/>
      <c r="B96" s="70" t="s">
        <v>172</v>
      </c>
      <c r="C96" s="71" t="s">
        <v>173</v>
      </c>
      <c r="D96" s="72"/>
      <c r="E96" s="72"/>
      <c r="F96" s="75"/>
      <c r="G96" s="72"/>
      <c r="H96" s="72"/>
      <c r="I96" s="72"/>
      <c r="J96" s="72"/>
      <c r="K96" s="72"/>
      <c r="L96" s="72"/>
      <c r="M96" s="76"/>
      <c r="N96" s="76"/>
      <c r="O96" s="76"/>
      <c r="P96" s="72"/>
      <c r="Q96" s="52"/>
      <c r="T96" s="52"/>
    </row>
    <row r="97" spans="1:20" s="56" customFormat="1" ht="12" x14ac:dyDescent="0.2">
      <c r="A97" s="94">
        <v>68054</v>
      </c>
      <c r="B97" s="73" t="s">
        <v>174</v>
      </c>
      <c r="C97" s="74" t="s">
        <v>175</v>
      </c>
      <c r="D97" s="73" t="s">
        <v>102</v>
      </c>
      <c r="E97" s="75">
        <v>5</v>
      </c>
      <c r="F97" s="75">
        <f>ROUND(T97*$T$10,2)</f>
        <v>180.11</v>
      </c>
      <c r="G97" s="75">
        <f>ROUND(F97*(1+$U$1),2)</f>
        <v>229.8</v>
      </c>
      <c r="H97" s="76">
        <f>ROUND(E97*G97,2)</f>
        <v>1149</v>
      </c>
      <c r="I97" s="75"/>
      <c r="J97" s="75"/>
      <c r="K97" s="75">
        <f>E97-I97</f>
        <v>5</v>
      </c>
      <c r="L97" s="76">
        <f>ROUND(E97*F97,2)</f>
        <v>900.55</v>
      </c>
      <c r="M97" s="76">
        <f>I97*G97</f>
        <v>0</v>
      </c>
      <c r="N97" s="76">
        <f>J97*G97</f>
        <v>0</v>
      </c>
      <c r="O97" s="76">
        <f>H97-N97</f>
        <v>1149</v>
      </c>
      <c r="P97" s="76"/>
      <c r="Q97" s="51"/>
      <c r="T97" s="53">
        <v>180.11</v>
      </c>
    </row>
    <row r="98" spans="1:20" s="56" customFormat="1" ht="12" x14ac:dyDescent="0.2">
      <c r="A98" s="94">
        <v>68054</v>
      </c>
      <c r="B98" s="73" t="s">
        <v>176</v>
      </c>
      <c r="C98" s="74" t="s">
        <v>177</v>
      </c>
      <c r="D98" s="73" t="s">
        <v>102</v>
      </c>
      <c r="E98" s="75">
        <v>1</v>
      </c>
      <c r="F98" s="75">
        <f>ROUND(T98*$T$10,2)</f>
        <v>327.47000000000003</v>
      </c>
      <c r="G98" s="75">
        <f>ROUND(F98*(1+$U$1),2)</f>
        <v>417.82</v>
      </c>
      <c r="H98" s="76">
        <f>ROUND(E98*G98,2)</f>
        <v>417.82</v>
      </c>
      <c r="I98" s="75"/>
      <c r="J98" s="75"/>
      <c r="K98" s="75">
        <f>E98-I98</f>
        <v>1</v>
      </c>
      <c r="L98" s="76">
        <f>ROUND(E98*F98,2)</f>
        <v>327.47000000000003</v>
      </c>
      <c r="M98" s="76">
        <f>I98*G98</f>
        <v>0</v>
      </c>
      <c r="N98" s="76">
        <f>J98*G98</f>
        <v>0</v>
      </c>
      <c r="O98" s="76">
        <f>H98-N98</f>
        <v>417.82</v>
      </c>
      <c r="P98" s="76"/>
      <c r="Q98" s="51"/>
      <c r="T98" s="53">
        <v>327.47000000000003</v>
      </c>
    </row>
    <row r="99" spans="1:20" s="56" customFormat="1" ht="12" x14ac:dyDescent="0.2">
      <c r="A99" s="73" t="s">
        <v>178</v>
      </c>
      <c r="B99" s="73" t="s">
        <v>179</v>
      </c>
      <c r="C99" s="74" t="s">
        <v>180</v>
      </c>
      <c r="D99" s="73" t="s">
        <v>14</v>
      </c>
      <c r="E99" s="75">
        <v>12.6</v>
      </c>
      <c r="F99" s="75">
        <f>ROUND(T99*$T$10,2)</f>
        <v>381.87</v>
      </c>
      <c r="G99" s="75">
        <f>ROUND(F99*(1+$U$1),2)</f>
        <v>487.23</v>
      </c>
      <c r="H99" s="76">
        <f>ROUND(E99*G99,2)</f>
        <v>6139.1</v>
      </c>
      <c r="I99" s="75"/>
      <c r="J99" s="75"/>
      <c r="K99" s="75">
        <f>E99-I99</f>
        <v>12.6</v>
      </c>
      <c r="L99" s="76">
        <f>ROUND(E99*F99,2)</f>
        <v>4811.5600000000004</v>
      </c>
      <c r="M99" s="76">
        <f>I99*G99</f>
        <v>0</v>
      </c>
      <c r="N99" s="76">
        <f>J99*G99</f>
        <v>0</v>
      </c>
      <c r="O99" s="76">
        <f>H99-N99</f>
        <v>6139.1</v>
      </c>
      <c r="P99" s="76"/>
      <c r="Q99" s="51"/>
      <c r="T99" s="53">
        <v>381.87</v>
      </c>
    </row>
    <row r="100" spans="1:20" s="56" customFormat="1" ht="12" x14ac:dyDescent="0.2">
      <c r="A100" s="72"/>
      <c r="B100" s="71"/>
      <c r="C100" s="71"/>
      <c r="D100" s="71"/>
      <c r="E100" s="71"/>
      <c r="F100" s="75"/>
      <c r="G100" s="77" t="s">
        <v>181</v>
      </c>
      <c r="H100" s="78">
        <f>SUM(H74:H99)</f>
        <v>84161.35000000002</v>
      </c>
      <c r="I100" s="71"/>
      <c r="J100" s="71"/>
      <c r="K100" s="71"/>
      <c r="L100" s="78">
        <f>SUM(L74:L99)</f>
        <v>65962.240000000005</v>
      </c>
      <c r="M100" s="78">
        <f>SUM(M74:M99)</f>
        <v>0</v>
      </c>
      <c r="N100" s="78">
        <f>SUM(N74:N99)</f>
        <v>0</v>
      </c>
      <c r="O100" s="78">
        <f>SUM(O74:O99)</f>
        <v>84161.35000000002</v>
      </c>
      <c r="P100" s="78"/>
      <c r="Q100" s="60"/>
      <c r="T100" s="59"/>
    </row>
    <row r="101" spans="1:20" s="56" customFormat="1" ht="12" x14ac:dyDescent="0.2">
      <c r="A101" s="72"/>
      <c r="B101" s="69"/>
      <c r="C101" s="71"/>
      <c r="D101" s="71"/>
      <c r="E101" s="71"/>
      <c r="F101" s="75"/>
      <c r="G101" s="77" t="s">
        <v>182</v>
      </c>
      <c r="H101" s="78">
        <f>SUM(H71,H100)</f>
        <v>111256.17000000001</v>
      </c>
      <c r="I101" s="71"/>
      <c r="J101" s="71"/>
      <c r="K101" s="71"/>
      <c r="L101" s="78">
        <f>SUM(L71,L100)</f>
        <v>87198.06</v>
      </c>
      <c r="M101" s="78">
        <f>SUM(M71,M100)</f>
        <v>0</v>
      </c>
      <c r="N101" s="78">
        <f>SUM(N71,N100)</f>
        <v>0</v>
      </c>
      <c r="O101" s="78">
        <f>SUM(O71,O100)</f>
        <v>111256.17000000001</v>
      </c>
      <c r="P101" s="78"/>
      <c r="Q101" s="60">
        <f>H101-N101</f>
        <v>111256.17000000001</v>
      </c>
      <c r="T101" s="59"/>
    </row>
    <row r="102" spans="1:20" s="56" customFormat="1" ht="12" x14ac:dyDescent="0.2">
      <c r="A102" s="72"/>
      <c r="B102" s="70" t="s">
        <v>183</v>
      </c>
      <c r="C102" s="71" t="s">
        <v>184</v>
      </c>
      <c r="D102" s="71"/>
      <c r="E102" s="71"/>
      <c r="F102" s="75"/>
      <c r="G102" s="71"/>
      <c r="H102" s="72"/>
      <c r="I102" s="71"/>
      <c r="J102" s="71"/>
      <c r="K102" s="71"/>
      <c r="L102" s="71"/>
      <c r="M102" s="72"/>
      <c r="N102" s="72"/>
      <c r="O102" s="72"/>
      <c r="P102" s="72"/>
      <c r="Q102" s="52"/>
      <c r="T102" s="59"/>
    </row>
    <row r="103" spans="1:20" s="56" customFormat="1" ht="12" x14ac:dyDescent="0.2">
      <c r="A103" s="73" t="s">
        <v>185</v>
      </c>
      <c r="B103" s="73" t="s">
        <v>186</v>
      </c>
      <c r="C103" s="74" t="s">
        <v>187</v>
      </c>
      <c r="D103" s="73" t="s">
        <v>14</v>
      </c>
      <c r="E103" s="75">
        <v>13.8</v>
      </c>
      <c r="F103" s="75">
        <f>ROUND(T103*$T$10,2)</f>
        <v>319.5</v>
      </c>
      <c r="G103" s="75">
        <f>ROUND(F103*(1+$U$1),2)</f>
        <v>407.65</v>
      </c>
      <c r="H103" s="76">
        <f>ROUND(E103*G103,2)</f>
        <v>5625.57</v>
      </c>
      <c r="I103" s="75"/>
      <c r="J103" s="75"/>
      <c r="K103" s="75"/>
      <c r="L103" s="76">
        <f>ROUND(E103*F103,2)</f>
        <v>4409.1000000000004</v>
      </c>
      <c r="M103" s="76">
        <f>I103*G103</f>
        <v>0</v>
      </c>
      <c r="N103" s="76">
        <f>J103*G103</f>
        <v>0</v>
      </c>
      <c r="O103" s="76">
        <f>H103-N103</f>
        <v>5625.57</v>
      </c>
      <c r="P103" s="76"/>
      <c r="Q103" s="51"/>
      <c r="T103" s="53">
        <v>319.5</v>
      </c>
    </row>
    <row r="104" spans="1:20" s="56" customFormat="1" ht="12" x14ac:dyDescent="0.2">
      <c r="A104" s="94">
        <v>85005</v>
      </c>
      <c r="B104" s="73" t="s">
        <v>188</v>
      </c>
      <c r="C104" s="74" t="s">
        <v>189</v>
      </c>
      <c r="D104" s="73" t="s">
        <v>14</v>
      </c>
      <c r="E104" s="75">
        <v>7</v>
      </c>
      <c r="F104" s="75">
        <f>ROUND(T104*$T$10,2)</f>
        <v>347.14</v>
      </c>
      <c r="G104" s="75">
        <f>ROUND(F104*(1+$U$1),2)</f>
        <v>442.92</v>
      </c>
      <c r="H104" s="76">
        <f>ROUND(E104*G104,2)</f>
        <v>3100.44</v>
      </c>
      <c r="I104" s="75"/>
      <c r="J104" s="75"/>
      <c r="K104" s="75"/>
      <c r="L104" s="76">
        <f>ROUND(E104*F104,2)</f>
        <v>2429.98</v>
      </c>
      <c r="M104" s="76">
        <f>I104*G104</f>
        <v>0</v>
      </c>
      <c r="N104" s="76">
        <f>J104*G104</f>
        <v>0</v>
      </c>
      <c r="O104" s="76">
        <f>H104-N104</f>
        <v>3100.44</v>
      </c>
      <c r="P104" s="76"/>
      <c r="Q104" s="51"/>
      <c r="T104" s="53">
        <v>347.14</v>
      </c>
    </row>
    <row r="105" spans="1:20" s="56" customFormat="1" ht="12" x14ac:dyDescent="0.2">
      <c r="A105" s="72"/>
      <c r="B105" s="71"/>
      <c r="C105" s="71"/>
      <c r="D105" s="71"/>
      <c r="E105" s="71"/>
      <c r="F105" s="75"/>
      <c r="G105" s="77" t="s">
        <v>190</v>
      </c>
      <c r="H105" s="78">
        <f>SUM(H103:H104)</f>
        <v>8726.01</v>
      </c>
      <c r="I105" s="71"/>
      <c r="J105" s="71"/>
      <c r="K105" s="71"/>
      <c r="L105" s="78">
        <f>SUM(L103:L104)</f>
        <v>6839.08</v>
      </c>
      <c r="M105" s="78">
        <f>SUM(M103:M104)</f>
        <v>0</v>
      </c>
      <c r="N105" s="78">
        <f>SUM(N103:N104)</f>
        <v>0</v>
      </c>
      <c r="O105" s="78">
        <f>SUM(O102:O104)</f>
        <v>8726.01</v>
      </c>
      <c r="P105" s="78"/>
      <c r="Q105" s="60"/>
      <c r="T105" s="59"/>
    </row>
    <row r="106" spans="1:20" s="56" customFormat="1" ht="12" x14ac:dyDescent="0.2">
      <c r="A106" s="72"/>
      <c r="B106" s="70" t="s">
        <v>191</v>
      </c>
      <c r="C106" s="71" t="s">
        <v>192</v>
      </c>
      <c r="D106" s="71"/>
      <c r="E106" s="71"/>
      <c r="F106" s="75"/>
      <c r="G106" s="71"/>
      <c r="H106" s="72"/>
      <c r="I106" s="71"/>
      <c r="J106" s="71"/>
      <c r="K106" s="71"/>
      <c r="L106" s="71"/>
      <c r="M106" s="72"/>
      <c r="N106" s="72"/>
      <c r="O106" s="72"/>
      <c r="P106" s="72"/>
      <c r="Q106" s="52"/>
      <c r="T106" s="59"/>
    </row>
    <row r="107" spans="1:20" s="56" customFormat="1" ht="12" x14ac:dyDescent="0.2">
      <c r="A107" s="94">
        <v>92539</v>
      </c>
      <c r="B107" s="73" t="s">
        <v>193</v>
      </c>
      <c r="C107" s="74" t="s">
        <v>194</v>
      </c>
      <c r="D107" s="73" t="s">
        <v>14</v>
      </c>
      <c r="E107" s="76">
        <v>1271.78</v>
      </c>
      <c r="F107" s="75">
        <f t="shared" ref="F107:F112" si="26">ROUND(T107*$T$10,2)</f>
        <v>52.1</v>
      </c>
      <c r="G107" s="75">
        <f t="shared" ref="G107:G112" si="27">ROUND(F107*(1+$U$1),2)</f>
        <v>66.47</v>
      </c>
      <c r="H107" s="76">
        <f t="shared" ref="H107:H112" si="28">ROUND(E107*G107,2)</f>
        <v>84535.22</v>
      </c>
      <c r="I107" s="76"/>
      <c r="J107" s="76"/>
      <c r="K107" s="75">
        <f t="shared" ref="K107:K112" si="29">E107-I107</f>
        <v>1271.78</v>
      </c>
      <c r="L107" s="76">
        <f t="shared" ref="L107:L112" si="30">ROUND(E107*F107,2)</f>
        <v>66259.740000000005</v>
      </c>
      <c r="M107" s="76">
        <f t="shared" ref="M107:M112" si="31">I107*G107</f>
        <v>0</v>
      </c>
      <c r="N107" s="76">
        <f t="shared" ref="N107:N112" si="32">J107*G107</f>
        <v>0</v>
      </c>
      <c r="O107" s="76">
        <f t="shared" ref="O107:O112" si="33">H107-N107</f>
        <v>84535.22</v>
      </c>
      <c r="P107" s="76"/>
      <c r="Q107" s="51"/>
      <c r="T107" s="53">
        <v>52.1</v>
      </c>
    </row>
    <row r="108" spans="1:20" s="56" customFormat="1" ht="12" x14ac:dyDescent="0.2">
      <c r="A108" s="94">
        <v>94195</v>
      </c>
      <c r="B108" s="73" t="s">
        <v>195</v>
      </c>
      <c r="C108" s="74" t="s">
        <v>196</v>
      </c>
      <c r="D108" s="73" t="s">
        <v>14</v>
      </c>
      <c r="E108" s="76">
        <v>1264.78</v>
      </c>
      <c r="F108" s="75">
        <f t="shared" si="26"/>
        <v>15.24</v>
      </c>
      <c r="G108" s="75">
        <f t="shared" si="27"/>
        <v>19.440000000000001</v>
      </c>
      <c r="H108" s="76">
        <f t="shared" si="28"/>
        <v>24587.32</v>
      </c>
      <c r="I108" s="76"/>
      <c r="J108" s="76"/>
      <c r="K108" s="75">
        <f t="shared" si="29"/>
        <v>1264.78</v>
      </c>
      <c r="L108" s="76">
        <f t="shared" si="30"/>
        <v>19275.25</v>
      </c>
      <c r="M108" s="76">
        <f t="shared" si="31"/>
        <v>0</v>
      </c>
      <c r="N108" s="76">
        <f t="shared" si="32"/>
        <v>0</v>
      </c>
      <c r="O108" s="76">
        <f t="shared" si="33"/>
        <v>24587.32</v>
      </c>
      <c r="P108" s="76"/>
      <c r="Q108" s="51"/>
      <c r="T108" s="53">
        <v>15.24</v>
      </c>
    </row>
    <row r="109" spans="1:20" s="56" customFormat="1" ht="12" x14ac:dyDescent="0.2">
      <c r="A109" s="94">
        <v>94444</v>
      </c>
      <c r="B109" s="73" t="s">
        <v>197</v>
      </c>
      <c r="C109" s="74" t="s">
        <v>198</v>
      </c>
      <c r="D109" s="73" t="s">
        <v>14</v>
      </c>
      <c r="E109" s="75">
        <v>7</v>
      </c>
      <c r="F109" s="75">
        <f t="shared" si="26"/>
        <v>584.54999999999995</v>
      </c>
      <c r="G109" s="75">
        <f t="shared" si="27"/>
        <v>745.83</v>
      </c>
      <c r="H109" s="76">
        <f t="shared" si="28"/>
        <v>5220.8100000000004</v>
      </c>
      <c r="I109" s="75"/>
      <c r="J109" s="75"/>
      <c r="K109" s="75">
        <f t="shared" si="29"/>
        <v>7</v>
      </c>
      <c r="L109" s="76">
        <f t="shared" si="30"/>
        <v>4091.85</v>
      </c>
      <c r="M109" s="76">
        <f t="shared" si="31"/>
        <v>0</v>
      </c>
      <c r="N109" s="76">
        <f t="shared" si="32"/>
        <v>0</v>
      </c>
      <c r="O109" s="76">
        <f t="shared" si="33"/>
        <v>5220.8100000000004</v>
      </c>
      <c r="P109" s="76"/>
      <c r="Q109" s="51"/>
      <c r="T109" s="53">
        <v>584.54999999999995</v>
      </c>
    </row>
    <row r="110" spans="1:20" s="56" customFormat="1" ht="12" x14ac:dyDescent="0.2">
      <c r="A110" s="94">
        <v>94219</v>
      </c>
      <c r="B110" s="73" t="s">
        <v>199</v>
      </c>
      <c r="C110" s="74" t="s">
        <v>200</v>
      </c>
      <c r="D110" s="73" t="s">
        <v>81</v>
      </c>
      <c r="E110" s="75">
        <v>154.99</v>
      </c>
      <c r="F110" s="75">
        <f t="shared" si="26"/>
        <v>18.86</v>
      </c>
      <c r="G110" s="75">
        <f t="shared" si="27"/>
        <v>24.06</v>
      </c>
      <c r="H110" s="76">
        <f t="shared" si="28"/>
        <v>3729.06</v>
      </c>
      <c r="I110" s="75"/>
      <c r="J110" s="75"/>
      <c r="K110" s="75">
        <f t="shared" si="29"/>
        <v>154.99</v>
      </c>
      <c r="L110" s="76">
        <f t="shared" si="30"/>
        <v>2923.11</v>
      </c>
      <c r="M110" s="76">
        <f t="shared" si="31"/>
        <v>0</v>
      </c>
      <c r="N110" s="76">
        <f t="shared" si="32"/>
        <v>0</v>
      </c>
      <c r="O110" s="76">
        <f t="shared" si="33"/>
        <v>3729.06</v>
      </c>
      <c r="P110" s="76"/>
      <c r="Q110" s="51"/>
      <c r="T110" s="53">
        <v>18.86</v>
      </c>
    </row>
    <row r="111" spans="1:20" s="56" customFormat="1" ht="12" x14ac:dyDescent="0.2">
      <c r="A111" s="94">
        <v>94228</v>
      </c>
      <c r="B111" s="73" t="s">
        <v>201</v>
      </c>
      <c r="C111" s="74" t="s">
        <v>202</v>
      </c>
      <c r="D111" s="73" t="s">
        <v>81</v>
      </c>
      <c r="E111" s="75">
        <v>2.5</v>
      </c>
      <c r="F111" s="75">
        <f t="shared" si="26"/>
        <v>42.78</v>
      </c>
      <c r="G111" s="75">
        <f t="shared" si="27"/>
        <v>54.58</v>
      </c>
      <c r="H111" s="76">
        <f t="shared" si="28"/>
        <v>136.44999999999999</v>
      </c>
      <c r="I111" s="75"/>
      <c r="J111" s="75"/>
      <c r="K111" s="75">
        <f t="shared" si="29"/>
        <v>2.5</v>
      </c>
      <c r="L111" s="76">
        <f t="shared" si="30"/>
        <v>106.95</v>
      </c>
      <c r="M111" s="76">
        <f t="shared" si="31"/>
        <v>0</v>
      </c>
      <c r="N111" s="76">
        <f t="shared" si="32"/>
        <v>0</v>
      </c>
      <c r="O111" s="76">
        <f t="shared" si="33"/>
        <v>136.44999999999999</v>
      </c>
      <c r="P111" s="76"/>
      <c r="Q111" s="51"/>
      <c r="T111" s="53">
        <v>42.78</v>
      </c>
    </row>
    <row r="112" spans="1:20" s="56" customFormat="1" ht="12" x14ac:dyDescent="0.2">
      <c r="A112" s="73" t="s">
        <v>203</v>
      </c>
      <c r="B112" s="73" t="s">
        <v>204</v>
      </c>
      <c r="C112" s="74" t="s">
        <v>205</v>
      </c>
      <c r="D112" s="73" t="s">
        <v>81</v>
      </c>
      <c r="E112" s="75">
        <v>107</v>
      </c>
      <c r="F112" s="75">
        <f t="shared" si="26"/>
        <v>20.81</v>
      </c>
      <c r="G112" s="75">
        <f t="shared" si="27"/>
        <v>26.55</v>
      </c>
      <c r="H112" s="76">
        <f t="shared" si="28"/>
        <v>2840.85</v>
      </c>
      <c r="I112" s="75"/>
      <c r="J112" s="75"/>
      <c r="K112" s="75">
        <f t="shared" si="29"/>
        <v>107</v>
      </c>
      <c r="L112" s="76">
        <f t="shared" si="30"/>
        <v>2226.67</v>
      </c>
      <c r="M112" s="76">
        <f t="shared" si="31"/>
        <v>0</v>
      </c>
      <c r="N112" s="76">
        <f t="shared" si="32"/>
        <v>0</v>
      </c>
      <c r="O112" s="76">
        <f t="shared" si="33"/>
        <v>2840.85</v>
      </c>
      <c r="P112" s="76"/>
      <c r="Q112" s="51"/>
      <c r="T112" s="53">
        <v>20.81</v>
      </c>
    </row>
    <row r="113" spans="1:20" s="56" customFormat="1" ht="12" x14ac:dyDescent="0.2">
      <c r="A113" s="72"/>
      <c r="B113" s="71"/>
      <c r="C113" s="71"/>
      <c r="D113" s="71"/>
      <c r="E113" s="71"/>
      <c r="F113" s="75"/>
      <c r="G113" s="77" t="s">
        <v>206</v>
      </c>
      <c r="H113" s="78">
        <f>SUM(H107:H112)</f>
        <v>121049.71</v>
      </c>
      <c r="I113" s="71"/>
      <c r="J113" s="71"/>
      <c r="K113" s="71"/>
      <c r="L113" s="78">
        <f>SUM(L107:L112)</f>
        <v>94883.57</v>
      </c>
      <c r="M113" s="78">
        <f>SUM(M107:M112)</f>
        <v>0</v>
      </c>
      <c r="N113" s="78">
        <f>SUM(N107:N112)</f>
        <v>0</v>
      </c>
      <c r="O113" s="78">
        <f>SUM(O107:O112)</f>
        <v>121049.71</v>
      </c>
      <c r="P113" s="78"/>
      <c r="Q113" s="60"/>
      <c r="R113" s="58"/>
      <c r="T113" s="59"/>
    </row>
    <row r="114" spans="1:20" s="56" customFormat="1" ht="12" x14ac:dyDescent="0.2">
      <c r="A114" s="72"/>
      <c r="B114" s="70" t="s">
        <v>207</v>
      </c>
      <c r="C114" s="71" t="s">
        <v>208</v>
      </c>
      <c r="D114" s="71"/>
      <c r="E114" s="71"/>
      <c r="F114" s="75"/>
      <c r="G114" s="71"/>
      <c r="H114" s="72"/>
      <c r="I114" s="71"/>
      <c r="J114" s="71"/>
      <c r="K114" s="71"/>
      <c r="L114" s="71"/>
      <c r="M114" s="72"/>
      <c r="N114" s="72"/>
      <c r="O114" s="72"/>
      <c r="P114" s="72"/>
      <c r="Q114" s="52"/>
      <c r="T114" s="59"/>
    </row>
    <row r="115" spans="1:20" s="56" customFormat="1" ht="12" x14ac:dyDescent="0.2">
      <c r="A115" s="73" t="s">
        <v>212</v>
      </c>
      <c r="B115" s="73" t="s">
        <v>210</v>
      </c>
      <c r="C115" s="74" t="s">
        <v>214</v>
      </c>
      <c r="D115" s="73" t="s">
        <v>14</v>
      </c>
      <c r="E115" s="75">
        <v>77</v>
      </c>
      <c r="F115" s="75">
        <f>ROUND(T115*$T$10,2)</f>
        <v>29.51</v>
      </c>
      <c r="G115" s="75">
        <f>ROUND(F115*(1+$U$1),2)</f>
        <v>37.65</v>
      </c>
      <c r="H115" s="76">
        <f>ROUND(E115*G115,2)</f>
        <v>2899.05</v>
      </c>
      <c r="I115" s="75"/>
      <c r="J115" s="75"/>
      <c r="K115" s="75">
        <f>E115-I115</f>
        <v>77</v>
      </c>
      <c r="L115" s="76">
        <f>ROUND(E115*F115,2)</f>
        <v>2272.27</v>
      </c>
      <c r="M115" s="76">
        <f>I115*G115</f>
        <v>0</v>
      </c>
      <c r="N115" s="76">
        <f>J115*G115</f>
        <v>0</v>
      </c>
      <c r="O115" s="76">
        <f>H115-N115</f>
        <v>2899.05</v>
      </c>
      <c r="P115" s="76"/>
      <c r="Q115" s="51"/>
      <c r="T115" s="53">
        <v>29.51</v>
      </c>
    </row>
    <row r="116" spans="1:20" s="56" customFormat="1" ht="12" x14ac:dyDescent="0.2">
      <c r="A116" s="73" t="s">
        <v>215</v>
      </c>
      <c r="B116" s="73" t="s">
        <v>213</v>
      </c>
      <c r="C116" s="74" t="s">
        <v>217</v>
      </c>
      <c r="D116" s="73" t="s">
        <v>14</v>
      </c>
      <c r="E116" s="75">
        <v>105</v>
      </c>
      <c r="F116" s="75">
        <f>ROUND(T116*$T$10,2)</f>
        <v>14.07</v>
      </c>
      <c r="G116" s="75">
        <f>ROUND(F116*(1+$U$1),2)</f>
        <v>17.95</v>
      </c>
      <c r="H116" s="76">
        <f>ROUND(E116*G116,2)</f>
        <v>1884.75</v>
      </c>
      <c r="I116" s="75"/>
      <c r="J116" s="75"/>
      <c r="K116" s="75">
        <f>E116-I116</f>
        <v>105</v>
      </c>
      <c r="L116" s="76">
        <f>ROUND(E116*F116,2)</f>
        <v>1477.35</v>
      </c>
      <c r="M116" s="76">
        <f>I116*G116</f>
        <v>0</v>
      </c>
      <c r="N116" s="76">
        <f>J116*G116</f>
        <v>0</v>
      </c>
      <c r="O116" s="76">
        <f>H116-N116</f>
        <v>1884.75</v>
      </c>
      <c r="P116" s="76"/>
      <c r="Q116" s="51"/>
      <c r="T116" s="53">
        <v>14.07</v>
      </c>
    </row>
    <row r="117" spans="1:20" s="56" customFormat="1" ht="12" x14ac:dyDescent="0.2">
      <c r="A117" s="73" t="s">
        <v>215</v>
      </c>
      <c r="B117" s="73" t="s">
        <v>216</v>
      </c>
      <c r="C117" s="74" t="s">
        <v>219</v>
      </c>
      <c r="D117" s="73" t="s">
        <v>14</v>
      </c>
      <c r="E117" s="75">
        <v>221.45</v>
      </c>
      <c r="F117" s="75">
        <f>ROUND(T117*$T$10,2)</f>
        <v>14.07</v>
      </c>
      <c r="G117" s="75">
        <f>ROUND(F117*(1+$U$1),2)</f>
        <v>17.95</v>
      </c>
      <c r="H117" s="76">
        <f>ROUND(E117*G117,2)</f>
        <v>3975.03</v>
      </c>
      <c r="I117" s="75"/>
      <c r="J117" s="75"/>
      <c r="K117" s="75">
        <f>E117-I117</f>
        <v>221.45</v>
      </c>
      <c r="L117" s="76">
        <f>ROUND(E117*F117,2)</f>
        <v>3115.8</v>
      </c>
      <c r="M117" s="76">
        <f>I117*G117</f>
        <v>0</v>
      </c>
      <c r="N117" s="76">
        <f>J117*G117</f>
        <v>0</v>
      </c>
      <c r="O117" s="76">
        <f>H117-N117</f>
        <v>3975.03</v>
      </c>
      <c r="P117" s="76"/>
      <c r="Q117" s="51"/>
      <c r="T117" s="53">
        <v>14.07</v>
      </c>
    </row>
    <row r="118" spans="1:20" s="56" customFormat="1" ht="12" x14ac:dyDescent="0.2">
      <c r="A118" s="72"/>
      <c r="B118" s="71"/>
      <c r="C118" s="71"/>
      <c r="D118" s="71"/>
      <c r="E118" s="71"/>
      <c r="F118" s="75"/>
      <c r="G118" s="77" t="s">
        <v>220</v>
      </c>
      <c r="H118" s="78">
        <f>SUM(H115:H117)</f>
        <v>8758.83</v>
      </c>
      <c r="I118" s="71"/>
      <c r="J118" s="71"/>
      <c r="K118" s="71"/>
      <c r="L118" s="78">
        <f>SUM(L115:L117)</f>
        <v>6865.42</v>
      </c>
      <c r="M118" s="78">
        <f>SUM(M115:M117)</f>
        <v>0</v>
      </c>
      <c r="N118" s="78">
        <f>SUM(N115:N117)</f>
        <v>0</v>
      </c>
      <c r="O118" s="78">
        <f>SUM(O115:O117)</f>
        <v>8758.83</v>
      </c>
      <c r="P118" s="78"/>
      <c r="Q118" s="60">
        <f>H118-N118</f>
        <v>8758.83</v>
      </c>
      <c r="R118" s="58"/>
      <c r="T118" s="59"/>
    </row>
    <row r="119" spans="1:20" s="56" customFormat="1" ht="12" x14ac:dyDescent="0.2">
      <c r="A119" s="72"/>
      <c r="B119" s="70" t="s">
        <v>221</v>
      </c>
      <c r="C119" s="71" t="s">
        <v>222</v>
      </c>
      <c r="D119" s="71"/>
      <c r="E119" s="71"/>
      <c r="F119" s="75"/>
      <c r="G119" s="71"/>
      <c r="H119" s="72"/>
      <c r="I119" s="71"/>
      <c r="J119" s="71"/>
      <c r="K119" s="71"/>
      <c r="L119" s="71"/>
      <c r="M119" s="72"/>
      <c r="N119" s="72"/>
      <c r="O119" s="72"/>
      <c r="P119" s="72"/>
      <c r="Q119" s="52"/>
      <c r="T119" s="59"/>
    </row>
    <row r="120" spans="1:20" s="56" customFormat="1" ht="12" x14ac:dyDescent="0.2">
      <c r="A120" s="72"/>
      <c r="B120" s="70" t="s">
        <v>223</v>
      </c>
      <c r="C120" s="71" t="s">
        <v>224</v>
      </c>
      <c r="D120" s="71"/>
      <c r="E120" s="71"/>
      <c r="F120" s="75"/>
      <c r="G120" s="71"/>
      <c r="H120" s="72"/>
      <c r="I120" s="71"/>
      <c r="J120" s="71"/>
      <c r="K120" s="71"/>
      <c r="L120" s="71"/>
      <c r="M120" s="72"/>
      <c r="N120" s="72"/>
      <c r="O120" s="72"/>
      <c r="P120" s="72"/>
      <c r="Q120" s="52"/>
      <c r="T120" s="59"/>
    </row>
    <row r="121" spans="1:20" s="56" customFormat="1" ht="12" x14ac:dyDescent="0.2">
      <c r="A121" s="72"/>
      <c r="B121" s="70" t="s">
        <v>225</v>
      </c>
      <c r="C121" s="71" t="s">
        <v>226</v>
      </c>
      <c r="D121" s="72"/>
      <c r="E121" s="72"/>
      <c r="F121" s="75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52"/>
      <c r="T121" s="52"/>
    </row>
    <row r="122" spans="1:20" s="56" customFormat="1" ht="12" x14ac:dyDescent="0.2">
      <c r="A122" s="94">
        <v>87775</v>
      </c>
      <c r="B122" s="73" t="s">
        <v>227</v>
      </c>
      <c r="C122" s="74" t="s">
        <v>228</v>
      </c>
      <c r="D122" s="73" t="s">
        <v>14</v>
      </c>
      <c r="E122" s="75">
        <v>239.8</v>
      </c>
      <c r="F122" s="75">
        <f>ROUND(T122*$T$10,2)</f>
        <v>37.78</v>
      </c>
      <c r="G122" s="75">
        <f>ROUND(F122*(1+$U$1),2)</f>
        <v>48.2</v>
      </c>
      <c r="H122" s="76">
        <f>ROUND(E122*G122,2)</f>
        <v>11558.36</v>
      </c>
      <c r="I122" s="75"/>
      <c r="J122" s="75"/>
      <c r="K122" s="75">
        <f>E122-I122</f>
        <v>239.8</v>
      </c>
      <c r="L122" s="76">
        <f>ROUND(E122*F122,2)</f>
        <v>9059.64</v>
      </c>
      <c r="M122" s="76">
        <f>I122*G122</f>
        <v>0</v>
      </c>
      <c r="N122" s="76">
        <f>J122*G122</f>
        <v>0</v>
      </c>
      <c r="O122" s="76">
        <f>H122-N122</f>
        <v>11558.36</v>
      </c>
      <c r="P122" s="76"/>
      <c r="Q122" s="51"/>
      <c r="T122" s="53">
        <v>37.78</v>
      </c>
    </row>
    <row r="123" spans="1:20" s="56" customFormat="1" ht="12" x14ac:dyDescent="0.2">
      <c r="A123" s="73" t="s">
        <v>229</v>
      </c>
      <c r="B123" s="73" t="s">
        <v>230</v>
      </c>
      <c r="C123" s="74" t="s">
        <v>231</v>
      </c>
      <c r="D123" s="73" t="s">
        <v>14</v>
      </c>
      <c r="E123" s="75">
        <v>242.72</v>
      </c>
      <c r="F123" s="75">
        <f>ROUND(T123*$T$10,2)</f>
        <v>21.63</v>
      </c>
      <c r="G123" s="75">
        <f>ROUND(F123*(1+$U$1),2)</f>
        <v>27.6</v>
      </c>
      <c r="H123" s="76">
        <f>ROUND(E123*G123,2)</f>
        <v>6699.07</v>
      </c>
      <c r="I123" s="75"/>
      <c r="J123" s="75"/>
      <c r="K123" s="75">
        <f>E123-I123</f>
        <v>242.72</v>
      </c>
      <c r="L123" s="76">
        <f>ROUND(E123*F123,2)</f>
        <v>5250.03</v>
      </c>
      <c r="M123" s="76">
        <f>I123*G123</f>
        <v>0</v>
      </c>
      <c r="N123" s="76">
        <f>J123*G123</f>
        <v>0</v>
      </c>
      <c r="O123" s="76">
        <f>H123-N123</f>
        <v>6699.07</v>
      </c>
      <c r="P123" s="76"/>
      <c r="Q123" s="51"/>
      <c r="T123" s="53">
        <v>21.63</v>
      </c>
    </row>
    <row r="124" spans="1:20" s="56" customFormat="1" ht="12" x14ac:dyDescent="0.2">
      <c r="A124" s="94">
        <v>87265</v>
      </c>
      <c r="B124" s="73" t="s">
        <v>232</v>
      </c>
      <c r="C124" s="74" t="s">
        <v>233</v>
      </c>
      <c r="D124" s="73" t="s">
        <v>14</v>
      </c>
      <c r="E124" s="75">
        <v>959.21</v>
      </c>
      <c r="F124" s="75">
        <f>ROUND(T124*$T$10,2)</f>
        <v>31.09</v>
      </c>
      <c r="G124" s="75">
        <f>ROUND(F124*(1+$U$1),2)</f>
        <v>39.67</v>
      </c>
      <c r="H124" s="76">
        <f>ROUND(E124*G124,2)</f>
        <v>38051.86</v>
      </c>
      <c r="I124" s="75"/>
      <c r="J124" s="75"/>
      <c r="K124" s="75">
        <f>E124-I124</f>
        <v>959.21</v>
      </c>
      <c r="L124" s="76">
        <f>ROUND(E124*F124,2)</f>
        <v>29821.84</v>
      </c>
      <c r="M124" s="76">
        <f>I124*G124</f>
        <v>0</v>
      </c>
      <c r="N124" s="76">
        <f>J124*G124</f>
        <v>0</v>
      </c>
      <c r="O124" s="76">
        <f>H124-N124</f>
        <v>38051.86</v>
      </c>
      <c r="P124" s="76"/>
      <c r="Q124" s="51"/>
      <c r="T124" s="53">
        <v>31.09</v>
      </c>
    </row>
    <row r="125" spans="1:20" s="56" customFormat="1" ht="12" x14ac:dyDescent="0.2">
      <c r="A125" s="72"/>
      <c r="B125" s="70" t="s">
        <v>234</v>
      </c>
      <c r="C125" s="71" t="s">
        <v>235</v>
      </c>
      <c r="D125" s="72"/>
      <c r="E125" s="72"/>
      <c r="F125" s="75"/>
      <c r="G125" s="72"/>
      <c r="H125" s="72"/>
      <c r="I125" s="72"/>
      <c r="J125" s="72"/>
      <c r="K125" s="72"/>
      <c r="L125" s="72"/>
      <c r="M125" s="76"/>
      <c r="N125" s="76"/>
      <c r="O125" s="76"/>
      <c r="P125" s="72"/>
      <c r="Q125" s="52"/>
      <c r="T125" s="52"/>
    </row>
    <row r="126" spans="1:20" s="56" customFormat="1" ht="12" x14ac:dyDescent="0.2">
      <c r="A126" s="73" t="s">
        <v>236</v>
      </c>
      <c r="B126" s="73" t="s">
        <v>237</v>
      </c>
      <c r="C126" s="74" t="s">
        <v>231</v>
      </c>
      <c r="D126" s="73" t="s">
        <v>14</v>
      </c>
      <c r="E126" s="75">
        <v>724.74</v>
      </c>
      <c r="F126" s="75">
        <f>ROUND(T126*$T$10,2)</f>
        <v>22.03</v>
      </c>
      <c r="G126" s="75">
        <f>ROUND(F126*(1+$U$1),2)</f>
        <v>28.11</v>
      </c>
      <c r="H126" s="76">
        <f>ROUND(E126*G126,2)</f>
        <v>20372.439999999999</v>
      </c>
      <c r="I126" s="75"/>
      <c r="J126" s="75"/>
      <c r="K126" s="75">
        <f>E126-I126</f>
        <v>724.74</v>
      </c>
      <c r="L126" s="76">
        <f>ROUND(E126*F126,2)</f>
        <v>15966.02</v>
      </c>
      <c r="M126" s="76">
        <f>I126*G126</f>
        <v>0</v>
      </c>
      <c r="N126" s="76">
        <f>J126*G126</f>
        <v>0</v>
      </c>
      <c r="O126" s="76">
        <f>H126-N126</f>
        <v>20372.439999999999</v>
      </c>
      <c r="P126" s="76"/>
      <c r="Q126" s="51"/>
      <c r="T126" s="53">
        <v>22.03</v>
      </c>
    </row>
    <row r="127" spans="1:20" s="56" customFormat="1" ht="12" x14ac:dyDescent="0.2">
      <c r="A127" s="72"/>
      <c r="B127" s="71"/>
      <c r="C127" s="71"/>
      <c r="D127" s="71"/>
      <c r="E127" s="71"/>
      <c r="F127" s="75"/>
      <c r="G127" s="77" t="s">
        <v>238</v>
      </c>
      <c r="H127" s="78">
        <f>SUM(H122:H126)</f>
        <v>76681.73</v>
      </c>
      <c r="I127" s="71"/>
      <c r="J127" s="71"/>
      <c r="K127" s="71"/>
      <c r="L127" s="78">
        <f>SUM(L122:L126)</f>
        <v>60097.53</v>
      </c>
      <c r="M127" s="78">
        <f>SUM(M122:M126)</f>
        <v>0</v>
      </c>
      <c r="N127" s="78">
        <f>SUM(N122:N126)</f>
        <v>0</v>
      </c>
      <c r="O127" s="78">
        <f>SUM(O122:O126)</f>
        <v>76681.73</v>
      </c>
      <c r="P127" s="78"/>
      <c r="Q127" s="60"/>
      <c r="T127" s="59"/>
    </row>
    <row r="128" spans="1:20" s="56" customFormat="1" ht="12" x14ac:dyDescent="0.2">
      <c r="A128" s="72"/>
      <c r="B128" s="70" t="s">
        <v>239</v>
      </c>
      <c r="C128" s="71" t="s">
        <v>240</v>
      </c>
      <c r="D128" s="71"/>
      <c r="E128" s="71"/>
      <c r="F128" s="75"/>
      <c r="G128" s="71"/>
      <c r="H128" s="72"/>
      <c r="I128" s="71"/>
      <c r="J128" s="71"/>
      <c r="K128" s="71"/>
      <c r="L128" s="71"/>
      <c r="M128" s="72"/>
      <c r="N128" s="72"/>
      <c r="O128" s="72"/>
      <c r="P128" s="72"/>
      <c r="Q128" s="52"/>
      <c r="T128" s="59"/>
    </row>
    <row r="129" spans="1:20" s="56" customFormat="1" ht="12" x14ac:dyDescent="0.2">
      <c r="A129" s="72"/>
      <c r="B129" s="70" t="s">
        <v>241</v>
      </c>
      <c r="C129" s="71" t="s">
        <v>242</v>
      </c>
      <c r="D129" s="72"/>
      <c r="E129" s="72"/>
      <c r="F129" s="75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52"/>
      <c r="T129" s="52"/>
    </row>
    <row r="130" spans="1:20" s="56" customFormat="1" ht="12" x14ac:dyDescent="0.2">
      <c r="A130" s="94">
        <v>87905</v>
      </c>
      <c r="B130" s="73" t="s">
        <v>243</v>
      </c>
      <c r="C130" s="74" t="s">
        <v>244</v>
      </c>
      <c r="D130" s="73" t="s">
        <v>14</v>
      </c>
      <c r="E130" s="75">
        <v>414.73</v>
      </c>
      <c r="F130" s="75">
        <f>ROUND(T130*$T$10,2)</f>
        <v>5.81</v>
      </c>
      <c r="G130" s="75">
        <f>ROUND(F130*(1+$U$1),2)</f>
        <v>7.41</v>
      </c>
      <c r="H130" s="76">
        <f>ROUND(E130*G130,2)</f>
        <v>3073.15</v>
      </c>
      <c r="I130" s="75"/>
      <c r="J130" s="75"/>
      <c r="K130" s="75">
        <f>E130-I130</f>
        <v>414.73</v>
      </c>
      <c r="L130" s="76">
        <f>ROUND(E130*F130,2)</f>
        <v>2409.58</v>
      </c>
      <c r="M130" s="76">
        <f>I130*G130</f>
        <v>0</v>
      </c>
      <c r="N130" s="76">
        <f>J130*G130</f>
        <v>0</v>
      </c>
      <c r="O130" s="76">
        <f>H130-N130</f>
        <v>3073.15</v>
      </c>
      <c r="P130" s="76"/>
      <c r="Q130" s="51"/>
      <c r="T130" s="53">
        <v>5.81</v>
      </c>
    </row>
    <row r="131" spans="1:20" s="56" customFormat="1" ht="12" x14ac:dyDescent="0.2">
      <c r="A131" s="94">
        <v>87775</v>
      </c>
      <c r="B131" s="73" t="s">
        <v>245</v>
      </c>
      <c r="C131" s="74" t="s">
        <v>228</v>
      </c>
      <c r="D131" s="73" t="s">
        <v>14</v>
      </c>
      <c r="E131" s="75">
        <v>184.11</v>
      </c>
      <c r="F131" s="75">
        <f>ROUND(T131*$T$10,2)</f>
        <v>37.78</v>
      </c>
      <c r="G131" s="75">
        <f>ROUND(F131*(1+$U$1),2)</f>
        <v>48.2</v>
      </c>
      <c r="H131" s="76">
        <f>ROUND(E131*G131,2)</f>
        <v>8874.1</v>
      </c>
      <c r="I131" s="75"/>
      <c r="J131" s="75"/>
      <c r="K131" s="75">
        <f>E131-I131</f>
        <v>184.11</v>
      </c>
      <c r="L131" s="76">
        <f>ROUND(E131*F131,2)</f>
        <v>6955.68</v>
      </c>
      <c r="M131" s="76">
        <f>I131*G131</f>
        <v>0</v>
      </c>
      <c r="N131" s="76">
        <f>J131*G131</f>
        <v>0</v>
      </c>
      <c r="O131" s="76">
        <f>H131-N131</f>
        <v>8874.1</v>
      </c>
      <c r="P131" s="76"/>
      <c r="Q131" s="51"/>
      <c r="T131" s="53">
        <v>37.78</v>
      </c>
    </row>
    <row r="132" spans="1:20" s="56" customFormat="1" ht="12" x14ac:dyDescent="0.2">
      <c r="A132" s="73" t="s">
        <v>229</v>
      </c>
      <c r="B132" s="73" t="s">
        <v>246</v>
      </c>
      <c r="C132" s="74" t="s">
        <v>231</v>
      </c>
      <c r="D132" s="73" t="s">
        <v>14</v>
      </c>
      <c r="E132" s="75">
        <v>230.62</v>
      </c>
      <c r="F132" s="75">
        <f>ROUND(T132*$T$10,2)</f>
        <v>21.63</v>
      </c>
      <c r="G132" s="75">
        <f>ROUND(F132*(1+$U$1),2)</f>
        <v>27.6</v>
      </c>
      <c r="H132" s="76">
        <f>ROUND(E132*G132,2)</f>
        <v>6365.11</v>
      </c>
      <c r="I132" s="75"/>
      <c r="J132" s="75"/>
      <c r="K132" s="75">
        <f>E132-I132</f>
        <v>230.62</v>
      </c>
      <c r="L132" s="76">
        <f>ROUND(E132*F132,2)</f>
        <v>4988.3100000000004</v>
      </c>
      <c r="M132" s="76">
        <f>I132*G132</f>
        <v>0</v>
      </c>
      <c r="N132" s="76">
        <f>J132*G132</f>
        <v>0</v>
      </c>
      <c r="O132" s="76">
        <f>H132-N132</f>
        <v>6365.11</v>
      </c>
      <c r="P132" s="76"/>
      <c r="Q132" s="51"/>
      <c r="T132" s="53">
        <v>21.63</v>
      </c>
    </row>
    <row r="133" spans="1:20" s="56" customFormat="1" ht="12" x14ac:dyDescent="0.2">
      <c r="A133" s="73" t="s">
        <v>247</v>
      </c>
      <c r="B133" s="73" t="s">
        <v>248</v>
      </c>
      <c r="C133" s="74" t="s">
        <v>249</v>
      </c>
      <c r="D133" s="73" t="s">
        <v>14</v>
      </c>
      <c r="E133" s="75">
        <v>460.27</v>
      </c>
      <c r="F133" s="75">
        <f>ROUND(T133*$T$10,2)</f>
        <v>38.770000000000003</v>
      </c>
      <c r="G133" s="75">
        <f>ROUND(F133*(1+$U$1),2)</f>
        <v>49.47</v>
      </c>
      <c r="H133" s="76">
        <f>ROUND(E133*G133,2)</f>
        <v>22769.56</v>
      </c>
      <c r="I133" s="75"/>
      <c r="J133" s="75"/>
      <c r="K133" s="75">
        <f>E133-I133</f>
        <v>460.27</v>
      </c>
      <c r="L133" s="76">
        <f>ROUND(E133*F133,2)</f>
        <v>17844.669999999998</v>
      </c>
      <c r="M133" s="76">
        <f>I133*G133</f>
        <v>0</v>
      </c>
      <c r="N133" s="76">
        <f>J133*G133</f>
        <v>0</v>
      </c>
      <c r="O133" s="76">
        <f>H133-N133</f>
        <v>22769.56</v>
      </c>
      <c r="P133" s="76"/>
      <c r="Q133" s="51"/>
      <c r="T133" s="53">
        <v>38.770000000000003</v>
      </c>
    </row>
    <row r="134" spans="1:20" s="56" customFormat="1" ht="12" x14ac:dyDescent="0.2">
      <c r="A134" s="72"/>
      <c r="B134" s="71"/>
      <c r="C134" s="71"/>
      <c r="D134" s="71"/>
      <c r="E134" s="71"/>
      <c r="F134" s="75"/>
      <c r="G134" s="77" t="s">
        <v>250</v>
      </c>
      <c r="H134" s="78">
        <f>SUM(H130:H133)</f>
        <v>41081.919999999998</v>
      </c>
      <c r="I134" s="71"/>
      <c r="J134" s="71"/>
      <c r="K134" s="71"/>
      <c r="L134" s="78">
        <f>SUM(L130:L133)</f>
        <v>32198.239999999998</v>
      </c>
      <c r="M134" s="78">
        <f>SUM(M130:M133)</f>
        <v>0</v>
      </c>
      <c r="N134" s="78">
        <f>SUM(N130:N133)</f>
        <v>0</v>
      </c>
      <c r="O134" s="78">
        <f>SUM(O130:O133)</f>
        <v>41081.919999999998</v>
      </c>
      <c r="P134" s="78"/>
      <c r="Q134" s="60"/>
      <c r="T134" s="59"/>
    </row>
    <row r="135" spans="1:20" s="56" customFormat="1" ht="12" x14ac:dyDescent="0.2">
      <c r="A135" s="72"/>
      <c r="B135" s="71"/>
      <c r="C135" s="71"/>
      <c r="D135" s="71"/>
      <c r="E135" s="71"/>
      <c r="F135" s="75"/>
      <c r="G135" s="77" t="s">
        <v>251</v>
      </c>
      <c r="H135" s="78">
        <f>SUM(H127,H134)</f>
        <v>117763.65</v>
      </c>
      <c r="I135" s="71"/>
      <c r="J135" s="71"/>
      <c r="K135" s="71"/>
      <c r="L135" s="78">
        <f>SUM(L127,L134)</f>
        <v>92295.76999999999</v>
      </c>
      <c r="M135" s="78">
        <f>SUM(M127,M134)</f>
        <v>0</v>
      </c>
      <c r="N135" s="78">
        <f>SUM(N127,N134)</f>
        <v>0</v>
      </c>
      <c r="O135" s="78">
        <f>SUM(O127,O134)</f>
        <v>117763.65</v>
      </c>
      <c r="P135" s="78"/>
      <c r="Q135" s="60">
        <f>H135-N135</f>
        <v>117763.65</v>
      </c>
      <c r="T135" s="59"/>
    </row>
    <row r="136" spans="1:20" s="56" customFormat="1" ht="12" x14ac:dyDescent="0.2">
      <c r="A136" s="72"/>
      <c r="B136" s="70" t="s">
        <v>252</v>
      </c>
      <c r="C136" s="71" t="s">
        <v>253</v>
      </c>
      <c r="D136" s="71"/>
      <c r="E136" s="71"/>
      <c r="F136" s="75"/>
      <c r="G136" s="71"/>
      <c r="H136" s="72"/>
      <c r="I136" s="71"/>
      <c r="J136" s="71"/>
      <c r="K136" s="71"/>
      <c r="L136" s="71"/>
      <c r="M136" s="72"/>
      <c r="N136" s="72"/>
      <c r="O136" s="72"/>
      <c r="P136" s="72"/>
      <c r="Q136" s="52"/>
      <c r="T136" s="59"/>
    </row>
    <row r="137" spans="1:20" s="56" customFormat="1" ht="24" x14ac:dyDescent="0.2">
      <c r="A137" s="94">
        <v>98572</v>
      </c>
      <c r="B137" s="73" t="s">
        <v>254</v>
      </c>
      <c r="C137" s="74" t="s">
        <v>255</v>
      </c>
      <c r="D137" s="73" t="s">
        <v>14</v>
      </c>
      <c r="E137" s="76">
        <v>1707</v>
      </c>
      <c r="F137" s="75">
        <f t="shared" ref="F137:F143" si="34">ROUND(T137*$T$10,2)</f>
        <v>29.86</v>
      </c>
      <c r="G137" s="75">
        <f t="shared" ref="G137:G143" si="35">ROUND(F137*(1+$U$1),2)</f>
        <v>38.1</v>
      </c>
      <c r="H137" s="76">
        <f t="shared" ref="H137:H143" si="36">ROUND(E137*G137,2)</f>
        <v>65036.7</v>
      </c>
      <c r="I137" s="76"/>
      <c r="J137" s="76"/>
      <c r="K137" s="75">
        <f t="shared" ref="K137:K143" si="37">E137-I137</f>
        <v>1707</v>
      </c>
      <c r="L137" s="76">
        <f t="shared" ref="L137:L143" si="38">ROUND(E137*F137,2)</f>
        <v>50971.02</v>
      </c>
      <c r="M137" s="76">
        <f t="shared" ref="M137:M143" si="39">I137*G137</f>
        <v>0</v>
      </c>
      <c r="N137" s="76">
        <f t="shared" ref="N137:N143" si="40">J137*G137</f>
        <v>0</v>
      </c>
      <c r="O137" s="76">
        <f t="shared" ref="O137:O143" si="41">H137-N137</f>
        <v>65036.7</v>
      </c>
      <c r="P137" s="76"/>
      <c r="Q137" s="51"/>
      <c r="T137" s="53">
        <v>29.86</v>
      </c>
    </row>
    <row r="138" spans="1:20" s="56" customFormat="1" ht="12" x14ac:dyDescent="0.2">
      <c r="A138" s="94">
        <v>98560</v>
      </c>
      <c r="B138" s="73" t="s">
        <v>256</v>
      </c>
      <c r="C138" s="74" t="s">
        <v>257</v>
      </c>
      <c r="D138" s="73" t="s">
        <v>14</v>
      </c>
      <c r="E138" s="76">
        <v>1304.0999999999999</v>
      </c>
      <c r="F138" s="75">
        <f t="shared" si="34"/>
        <v>32.090000000000003</v>
      </c>
      <c r="G138" s="75">
        <f t="shared" si="35"/>
        <v>40.94</v>
      </c>
      <c r="H138" s="76">
        <f t="shared" si="36"/>
        <v>53389.85</v>
      </c>
      <c r="I138" s="76"/>
      <c r="J138" s="76"/>
      <c r="K138" s="75">
        <f t="shared" si="37"/>
        <v>1304.0999999999999</v>
      </c>
      <c r="L138" s="76">
        <f t="shared" si="38"/>
        <v>41848.57</v>
      </c>
      <c r="M138" s="76">
        <f t="shared" si="39"/>
        <v>0</v>
      </c>
      <c r="N138" s="76">
        <f t="shared" si="40"/>
        <v>0</v>
      </c>
      <c r="O138" s="76">
        <f t="shared" si="41"/>
        <v>53389.85</v>
      </c>
      <c r="P138" s="76"/>
      <c r="Q138" s="51"/>
      <c r="T138" s="53">
        <v>32.090000000000003</v>
      </c>
    </row>
    <row r="139" spans="1:20" s="56" customFormat="1" ht="12" x14ac:dyDescent="0.2">
      <c r="A139" s="94">
        <v>92391</v>
      </c>
      <c r="B139" s="73" t="s">
        <v>258</v>
      </c>
      <c r="C139" s="74" t="s">
        <v>259</v>
      </c>
      <c r="D139" s="73" t="s">
        <v>14</v>
      </c>
      <c r="E139" s="75">
        <v>224</v>
      </c>
      <c r="F139" s="75">
        <f t="shared" si="34"/>
        <v>46.88</v>
      </c>
      <c r="G139" s="75">
        <f t="shared" si="35"/>
        <v>59.81</v>
      </c>
      <c r="H139" s="76">
        <f t="shared" si="36"/>
        <v>13397.44</v>
      </c>
      <c r="I139" s="75"/>
      <c r="J139" s="75"/>
      <c r="K139" s="75">
        <f t="shared" si="37"/>
        <v>224</v>
      </c>
      <c r="L139" s="76">
        <f t="shared" si="38"/>
        <v>10501.12</v>
      </c>
      <c r="M139" s="76">
        <f t="shared" si="39"/>
        <v>0</v>
      </c>
      <c r="N139" s="76">
        <f t="shared" si="40"/>
        <v>0</v>
      </c>
      <c r="O139" s="76">
        <f t="shared" si="41"/>
        <v>13397.44</v>
      </c>
      <c r="P139" s="76"/>
      <c r="Q139" s="51"/>
      <c r="T139" s="53">
        <v>46.88</v>
      </c>
    </row>
    <row r="140" spans="1:20" s="56" customFormat="1" ht="12" x14ac:dyDescent="0.2">
      <c r="A140" s="73" t="s">
        <v>260</v>
      </c>
      <c r="B140" s="73" t="s">
        <v>261</v>
      </c>
      <c r="C140" s="74" t="s">
        <v>262</v>
      </c>
      <c r="D140" s="73" t="s">
        <v>14</v>
      </c>
      <c r="E140" s="75">
        <v>36</v>
      </c>
      <c r="F140" s="75">
        <f t="shared" si="34"/>
        <v>31.2</v>
      </c>
      <c r="G140" s="75">
        <f t="shared" si="35"/>
        <v>39.81</v>
      </c>
      <c r="H140" s="76">
        <f t="shared" si="36"/>
        <v>1433.16</v>
      </c>
      <c r="I140" s="75"/>
      <c r="J140" s="75"/>
      <c r="K140" s="75">
        <f t="shared" si="37"/>
        <v>36</v>
      </c>
      <c r="L140" s="76">
        <f t="shared" si="38"/>
        <v>1123.2</v>
      </c>
      <c r="M140" s="76">
        <f t="shared" si="39"/>
        <v>0</v>
      </c>
      <c r="N140" s="76">
        <f t="shared" si="40"/>
        <v>0</v>
      </c>
      <c r="O140" s="76">
        <f t="shared" si="41"/>
        <v>1433.16</v>
      </c>
      <c r="P140" s="76"/>
      <c r="Q140" s="51"/>
      <c r="T140" s="53">
        <v>31.2</v>
      </c>
    </row>
    <row r="141" spans="1:20" s="56" customFormat="1" ht="12" x14ac:dyDescent="0.2">
      <c r="A141" s="94">
        <v>88477</v>
      </c>
      <c r="B141" s="73" t="s">
        <v>265</v>
      </c>
      <c r="C141" s="74" t="s">
        <v>264</v>
      </c>
      <c r="D141" s="73" t="s">
        <v>14</v>
      </c>
      <c r="E141" s="75">
        <v>470</v>
      </c>
      <c r="F141" s="75">
        <f t="shared" si="34"/>
        <v>19.170000000000002</v>
      </c>
      <c r="G141" s="75">
        <f t="shared" si="35"/>
        <v>24.46</v>
      </c>
      <c r="H141" s="76">
        <f t="shared" si="36"/>
        <v>11496.2</v>
      </c>
      <c r="I141" s="75"/>
      <c r="J141" s="75"/>
      <c r="K141" s="75">
        <f t="shared" si="37"/>
        <v>470</v>
      </c>
      <c r="L141" s="76">
        <f t="shared" si="38"/>
        <v>9009.9</v>
      </c>
      <c r="M141" s="76">
        <f t="shared" si="39"/>
        <v>0</v>
      </c>
      <c r="N141" s="76">
        <f t="shared" si="40"/>
        <v>0</v>
      </c>
      <c r="O141" s="76">
        <f t="shared" si="41"/>
        <v>11496.2</v>
      </c>
      <c r="P141" s="76"/>
      <c r="Q141" s="51"/>
      <c r="T141" s="53">
        <v>19.170000000000002</v>
      </c>
    </row>
    <row r="142" spans="1:20" s="56" customFormat="1" ht="24" x14ac:dyDescent="0.2">
      <c r="A142" s="94">
        <v>84191</v>
      </c>
      <c r="B142" s="73" t="s">
        <v>268</v>
      </c>
      <c r="C142" s="74" t="s">
        <v>266</v>
      </c>
      <c r="D142" s="73" t="s">
        <v>14</v>
      </c>
      <c r="E142" s="75">
        <v>885</v>
      </c>
      <c r="F142" s="75">
        <f t="shared" si="34"/>
        <v>98.11</v>
      </c>
      <c r="G142" s="75">
        <f t="shared" si="35"/>
        <v>125.18</v>
      </c>
      <c r="H142" s="76">
        <f t="shared" si="36"/>
        <v>110784.3</v>
      </c>
      <c r="I142" s="75"/>
      <c r="J142" s="75"/>
      <c r="K142" s="75">
        <f t="shared" si="37"/>
        <v>885</v>
      </c>
      <c r="L142" s="76">
        <f t="shared" si="38"/>
        <v>86827.35</v>
      </c>
      <c r="M142" s="76">
        <f t="shared" si="39"/>
        <v>0</v>
      </c>
      <c r="N142" s="76">
        <f t="shared" si="40"/>
        <v>0</v>
      </c>
      <c r="O142" s="76">
        <f t="shared" si="41"/>
        <v>110784.3</v>
      </c>
      <c r="P142" s="76"/>
      <c r="Q142" s="51"/>
      <c r="T142" s="53">
        <v>98.11</v>
      </c>
    </row>
    <row r="143" spans="1:20" s="56" customFormat="1" ht="12" x14ac:dyDescent="0.2">
      <c r="A143" s="73" t="s">
        <v>267</v>
      </c>
      <c r="B143" s="73" t="s">
        <v>1268</v>
      </c>
      <c r="C143" s="74" t="s">
        <v>269</v>
      </c>
      <c r="D143" s="73" t="s">
        <v>81</v>
      </c>
      <c r="E143" s="75">
        <v>77</v>
      </c>
      <c r="F143" s="75">
        <f t="shared" si="34"/>
        <v>174.65</v>
      </c>
      <c r="G143" s="75">
        <f t="shared" si="35"/>
        <v>222.84</v>
      </c>
      <c r="H143" s="76">
        <f t="shared" si="36"/>
        <v>17158.68</v>
      </c>
      <c r="I143" s="75"/>
      <c r="J143" s="75"/>
      <c r="K143" s="75">
        <f t="shared" si="37"/>
        <v>77</v>
      </c>
      <c r="L143" s="76">
        <f t="shared" si="38"/>
        <v>13448.05</v>
      </c>
      <c r="M143" s="76">
        <f t="shared" si="39"/>
        <v>0</v>
      </c>
      <c r="N143" s="76">
        <f t="shared" si="40"/>
        <v>0</v>
      </c>
      <c r="O143" s="76">
        <f t="shared" si="41"/>
        <v>17158.68</v>
      </c>
      <c r="P143" s="76"/>
      <c r="Q143" s="51"/>
      <c r="T143" s="53">
        <v>174.65</v>
      </c>
    </row>
    <row r="144" spans="1:20" s="56" customFormat="1" ht="12" x14ac:dyDescent="0.2">
      <c r="A144" s="72"/>
      <c r="B144" s="71"/>
      <c r="C144" s="71"/>
      <c r="D144" s="71"/>
      <c r="E144" s="71"/>
      <c r="F144" s="75"/>
      <c r="G144" s="77" t="s">
        <v>270</v>
      </c>
      <c r="H144" s="78">
        <f>SUM(H137:H143)</f>
        <v>272696.33</v>
      </c>
      <c r="I144" s="71"/>
      <c r="J144" s="71"/>
      <c r="K144" s="71"/>
      <c r="L144" s="78">
        <f>SUM(L137:L143)</f>
        <v>213729.20999999996</v>
      </c>
      <c r="M144" s="78">
        <f>SUM(M137:M143)</f>
        <v>0</v>
      </c>
      <c r="N144" s="78">
        <f>SUM(N137:N143)</f>
        <v>0</v>
      </c>
      <c r="O144" s="78">
        <f>SUM(O137:O143)</f>
        <v>272696.33</v>
      </c>
      <c r="P144" s="78"/>
      <c r="Q144" s="60"/>
      <c r="R144" s="58"/>
      <c r="T144" s="59"/>
    </row>
    <row r="145" spans="1:20" s="56" customFormat="1" ht="12" x14ac:dyDescent="0.2">
      <c r="A145" s="72"/>
      <c r="B145" s="70" t="s">
        <v>271</v>
      </c>
      <c r="C145" s="71" t="s">
        <v>272</v>
      </c>
      <c r="D145" s="71"/>
      <c r="E145" s="71"/>
      <c r="F145" s="75"/>
      <c r="G145" s="71"/>
      <c r="H145" s="72"/>
      <c r="I145" s="71"/>
      <c r="J145" s="71"/>
      <c r="K145" s="71"/>
      <c r="L145" s="71"/>
      <c r="M145" s="72"/>
      <c r="N145" s="72"/>
      <c r="O145" s="72"/>
      <c r="P145" s="72"/>
      <c r="Q145" s="52"/>
      <c r="T145" s="59"/>
    </row>
    <row r="146" spans="1:20" s="56" customFormat="1" ht="12" x14ac:dyDescent="0.2">
      <c r="A146" s="73" t="s">
        <v>273</v>
      </c>
      <c r="B146" s="73" t="s">
        <v>274</v>
      </c>
      <c r="C146" s="74" t="s">
        <v>275</v>
      </c>
      <c r="D146" s="73" t="s">
        <v>81</v>
      </c>
      <c r="E146" s="75">
        <v>32.799999999999997</v>
      </c>
      <c r="F146" s="75">
        <f>ROUND(T146*$T$10,2)</f>
        <v>33.909999999999997</v>
      </c>
      <c r="G146" s="75">
        <f>ROUND(F146*(1+$U$1),2)</f>
        <v>43.27</v>
      </c>
      <c r="H146" s="76">
        <f>ROUND(E146*G146,2)</f>
        <v>1419.26</v>
      </c>
      <c r="I146" s="75"/>
      <c r="J146" s="75"/>
      <c r="K146" s="75">
        <f>E146-I146</f>
        <v>32.799999999999997</v>
      </c>
      <c r="L146" s="76">
        <f>ROUND(E146*F146,2)</f>
        <v>1112.25</v>
      </c>
      <c r="M146" s="76">
        <f>I146*G146</f>
        <v>0</v>
      </c>
      <c r="N146" s="76">
        <f>J146*G146</f>
        <v>0</v>
      </c>
      <c r="O146" s="76">
        <f>H146-N146</f>
        <v>1419.26</v>
      </c>
      <c r="P146" s="76"/>
      <c r="Q146" s="51"/>
      <c r="T146" s="53">
        <v>33.909999999999997</v>
      </c>
    </row>
    <row r="147" spans="1:20" s="56" customFormat="1" ht="12" x14ac:dyDescent="0.2">
      <c r="A147" s="94">
        <v>96467</v>
      </c>
      <c r="B147" s="73" t="s">
        <v>276</v>
      </c>
      <c r="C147" s="74" t="s">
        <v>277</v>
      </c>
      <c r="D147" s="73" t="s">
        <v>81</v>
      </c>
      <c r="E147" s="75">
        <v>648</v>
      </c>
      <c r="F147" s="75">
        <f>ROUND(T147*$T$10,2)</f>
        <v>4.1100000000000003</v>
      </c>
      <c r="G147" s="75">
        <f>ROUND(F147*(1+$U$1),2)</f>
        <v>5.24</v>
      </c>
      <c r="H147" s="76">
        <f>ROUND(E147*G147,2)</f>
        <v>3395.52</v>
      </c>
      <c r="I147" s="75"/>
      <c r="J147" s="75"/>
      <c r="K147" s="75">
        <f>E147-I147</f>
        <v>648</v>
      </c>
      <c r="L147" s="76">
        <f>ROUND(E147*F147,2)</f>
        <v>2663.28</v>
      </c>
      <c r="M147" s="76">
        <f>I147*G147</f>
        <v>0</v>
      </c>
      <c r="N147" s="76">
        <f>J147*G147</f>
        <v>0</v>
      </c>
      <c r="O147" s="76">
        <f>H147-N147</f>
        <v>3395.52</v>
      </c>
      <c r="P147" s="76"/>
      <c r="Q147" s="51"/>
      <c r="T147" s="53">
        <v>4.1100000000000003</v>
      </c>
    </row>
    <row r="148" spans="1:20" s="56" customFormat="1" ht="12" x14ac:dyDescent="0.2">
      <c r="A148" s="73" t="s">
        <v>78</v>
      </c>
      <c r="B148" s="73" t="s">
        <v>278</v>
      </c>
      <c r="C148" s="74" t="s">
        <v>279</v>
      </c>
      <c r="D148" s="73" t="s">
        <v>81</v>
      </c>
      <c r="E148" s="75">
        <v>100</v>
      </c>
      <c r="F148" s="75">
        <f>ROUND(T148*$T$10,2)</f>
        <v>9.81</v>
      </c>
      <c r="G148" s="75">
        <f>ROUND(F148*(1+$U$1),2)</f>
        <v>12.52</v>
      </c>
      <c r="H148" s="76">
        <f>ROUND(E148*G148,2)</f>
        <v>1252</v>
      </c>
      <c r="I148" s="75"/>
      <c r="J148" s="75"/>
      <c r="K148" s="75">
        <f>E148-I148</f>
        <v>100</v>
      </c>
      <c r="L148" s="76">
        <f>ROUND(E148*F148,2)</f>
        <v>981</v>
      </c>
      <c r="M148" s="76">
        <f>I148*G148</f>
        <v>0</v>
      </c>
      <c r="N148" s="76">
        <f>J148*G148</f>
        <v>0</v>
      </c>
      <c r="O148" s="76">
        <f>H148-N148</f>
        <v>1252</v>
      </c>
      <c r="P148" s="76"/>
      <c r="Q148" s="51"/>
      <c r="T148" s="53">
        <v>9.81</v>
      </c>
    </row>
    <row r="149" spans="1:20" s="56" customFormat="1" ht="12" x14ac:dyDescent="0.2">
      <c r="A149" s="73" t="s">
        <v>280</v>
      </c>
      <c r="B149" s="73" t="s">
        <v>281</v>
      </c>
      <c r="C149" s="74" t="s">
        <v>282</v>
      </c>
      <c r="D149" s="73" t="s">
        <v>81</v>
      </c>
      <c r="E149" s="75">
        <v>548</v>
      </c>
      <c r="F149" s="75">
        <f>ROUND(T149*$T$10,2)</f>
        <v>12.72</v>
      </c>
      <c r="G149" s="75">
        <f>ROUND(F149*(1+$U$1),2)</f>
        <v>16.23</v>
      </c>
      <c r="H149" s="76">
        <f>ROUND(E149*G149,2)</f>
        <v>8894.0400000000009</v>
      </c>
      <c r="I149" s="75"/>
      <c r="J149" s="75"/>
      <c r="K149" s="75">
        <f>E149-I149</f>
        <v>548</v>
      </c>
      <c r="L149" s="76">
        <f>ROUND(E149*F149,2)</f>
        <v>6970.56</v>
      </c>
      <c r="M149" s="76">
        <f>I149*G149</f>
        <v>0</v>
      </c>
      <c r="N149" s="76">
        <f>J149*G149</f>
        <v>0</v>
      </c>
      <c r="O149" s="76">
        <f>H149-N149</f>
        <v>8894.0400000000009</v>
      </c>
      <c r="P149" s="76"/>
      <c r="Q149" s="51"/>
      <c r="T149" s="53">
        <v>12.72</v>
      </c>
    </row>
    <row r="150" spans="1:20" s="56" customFormat="1" ht="12" x14ac:dyDescent="0.2">
      <c r="A150" s="72"/>
      <c r="B150" s="71"/>
      <c r="C150" s="71"/>
      <c r="D150" s="71"/>
      <c r="E150" s="71"/>
      <c r="F150" s="75"/>
      <c r="G150" s="77" t="s">
        <v>283</v>
      </c>
      <c r="H150" s="78">
        <f>SUM(H146:H149)</f>
        <v>14960.82</v>
      </c>
      <c r="I150" s="71"/>
      <c r="J150" s="71"/>
      <c r="K150" s="71"/>
      <c r="L150" s="78">
        <f>SUM(L146:L149)</f>
        <v>11727.09</v>
      </c>
      <c r="M150" s="78">
        <f>SUM(M146:M149)</f>
        <v>0</v>
      </c>
      <c r="N150" s="78">
        <f>SUM(N146:N149)</f>
        <v>0</v>
      </c>
      <c r="O150" s="78">
        <f>SUM(O146:O149)</f>
        <v>14960.82</v>
      </c>
      <c r="P150" s="78"/>
      <c r="Q150" s="60"/>
      <c r="R150" s="58"/>
      <c r="T150" s="59"/>
    </row>
    <row r="151" spans="1:20" s="56" customFormat="1" ht="12" x14ac:dyDescent="0.2">
      <c r="A151" s="72"/>
      <c r="B151" s="70" t="s">
        <v>284</v>
      </c>
      <c r="C151" s="71" t="s">
        <v>285</v>
      </c>
      <c r="D151" s="71"/>
      <c r="E151" s="71"/>
      <c r="F151" s="75"/>
      <c r="G151" s="71"/>
      <c r="H151" s="72"/>
      <c r="I151" s="71"/>
      <c r="J151" s="71"/>
      <c r="K151" s="71"/>
      <c r="L151" s="71"/>
      <c r="M151" s="72"/>
      <c r="N151" s="72"/>
      <c r="O151" s="72"/>
      <c r="P151" s="72"/>
      <c r="Q151" s="52"/>
      <c r="T151" s="59"/>
    </row>
    <row r="152" spans="1:20" s="56" customFormat="1" ht="12" x14ac:dyDescent="0.2">
      <c r="A152" s="72"/>
      <c r="B152" s="79">
        <v>12.1</v>
      </c>
      <c r="C152" s="71" t="s">
        <v>286</v>
      </c>
      <c r="D152" s="72"/>
      <c r="E152" s="72"/>
      <c r="F152" s="75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52"/>
      <c r="T152" s="52"/>
    </row>
    <row r="153" spans="1:20" s="56" customFormat="1" ht="12" x14ac:dyDescent="0.2">
      <c r="A153" s="94">
        <v>88489</v>
      </c>
      <c r="B153" s="80">
        <v>40909</v>
      </c>
      <c r="C153" s="74" t="s">
        <v>287</v>
      </c>
      <c r="D153" s="73" t="s">
        <v>14</v>
      </c>
      <c r="E153" s="75">
        <v>638.78</v>
      </c>
      <c r="F153" s="75">
        <f>ROUND(T153*$T$10,2)</f>
        <v>8.41</v>
      </c>
      <c r="G153" s="75">
        <f>ROUND(F153*(1+$U$1),2)</f>
        <v>10.73</v>
      </c>
      <c r="H153" s="76">
        <f>ROUND(E153*G153,2)</f>
        <v>6854.11</v>
      </c>
      <c r="I153" s="75"/>
      <c r="J153" s="75"/>
      <c r="K153" s="75">
        <f>E153-I153</f>
        <v>638.78</v>
      </c>
      <c r="L153" s="76">
        <f>ROUND(E153*F153,2)</f>
        <v>5372.14</v>
      </c>
      <c r="M153" s="76">
        <f>I153*G153</f>
        <v>0</v>
      </c>
      <c r="N153" s="76">
        <f>J153*G153</f>
        <v>0</v>
      </c>
      <c r="O153" s="76">
        <f>H153-N153</f>
        <v>6854.11</v>
      </c>
      <c r="P153" s="76"/>
      <c r="Q153" s="51"/>
      <c r="T153" s="53">
        <v>8.41</v>
      </c>
    </row>
    <row r="154" spans="1:20" s="56" customFormat="1" ht="24" x14ac:dyDescent="0.2">
      <c r="A154" s="94">
        <v>88497</v>
      </c>
      <c r="B154" s="80">
        <v>40910</v>
      </c>
      <c r="C154" s="74" t="s">
        <v>288</v>
      </c>
      <c r="D154" s="73" t="s">
        <v>14</v>
      </c>
      <c r="E154" s="75">
        <v>638.78</v>
      </c>
      <c r="F154" s="75">
        <f>ROUND(T154*$T$10,2)</f>
        <v>9.49</v>
      </c>
      <c r="G154" s="75">
        <f>ROUND(F154*(1+$U$1),2)</f>
        <v>12.11</v>
      </c>
      <c r="H154" s="76">
        <f>ROUND(E154*G154,2)</f>
        <v>7735.63</v>
      </c>
      <c r="I154" s="75"/>
      <c r="J154" s="75"/>
      <c r="K154" s="75">
        <f>E154-I154</f>
        <v>638.78</v>
      </c>
      <c r="L154" s="76">
        <f>ROUND(E154*F154,2)</f>
        <v>6062.02</v>
      </c>
      <c r="M154" s="76">
        <f>I154*G154</f>
        <v>0</v>
      </c>
      <c r="N154" s="76">
        <f>J154*G154</f>
        <v>0</v>
      </c>
      <c r="O154" s="76">
        <f>H154-N154</f>
        <v>7735.63</v>
      </c>
      <c r="P154" s="76"/>
      <c r="Q154" s="51"/>
      <c r="T154" s="53">
        <v>9.49</v>
      </c>
    </row>
    <row r="155" spans="1:20" s="56" customFormat="1" ht="12" x14ac:dyDescent="0.2">
      <c r="A155" s="94">
        <v>88487</v>
      </c>
      <c r="B155" s="80">
        <v>40911</v>
      </c>
      <c r="C155" s="74" t="s">
        <v>289</v>
      </c>
      <c r="D155" s="73" t="s">
        <v>14</v>
      </c>
      <c r="E155" s="75">
        <v>77.3</v>
      </c>
      <c r="F155" s="75">
        <f>ROUND(T155*$T$10,2)</f>
        <v>6.56</v>
      </c>
      <c r="G155" s="75">
        <f>ROUND(F155*(1+$U$1),2)</f>
        <v>8.3699999999999992</v>
      </c>
      <c r="H155" s="76">
        <f>ROUND(E155*G155,2)</f>
        <v>647</v>
      </c>
      <c r="I155" s="75"/>
      <c r="J155" s="75"/>
      <c r="K155" s="75">
        <f>E155-I155</f>
        <v>77.3</v>
      </c>
      <c r="L155" s="76">
        <f>ROUND(E155*F155,2)</f>
        <v>507.09</v>
      </c>
      <c r="M155" s="76">
        <f>I155*G155</f>
        <v>0</v>
      </c>
      <c r="N155" s="76">
        <f>J155*G155</f>
        <v>0</v>
      </c>
      <c r="O155" s="76">
        <f>H155-N155</f>
        <v>647</v>
      </c>
      <c r="P155" s="76"/>
      <c r="Q155" s="51"/>
      <c r="T155" s="53">
        <v>6.56</v>
      </c>
    </row>
    <row r="156" spans="1:20" s="56" customFormat="1" ht="12" x14ac:dyDescent="0.2">
      <c r="A156" s="72"/>
      <c r="B156" s="70" t="s">
        <v>290</v>
      </c>
      <c r="C156" s="71" t="s">
        <v>291</v>
      </c>
      <c r="D156" s="71"/>
      <c r="E156" s="71"/>
      <c r="F156" s="75"/>
      <c r="G156" s="72"/>
      <c r="H156" s="72"/>
      <c r="I156" s="71"/>
      <c r="J156" s="71"/>
      <c r="K156" s="75"/>
      <c r="L156" s="72"/>
      <c r="M156" s="72"/>
      <c r="N156" s="72"/>
      <c r="O156" s="72"/>
      <c r="P156" s="72"/>
      <c r="Q156" s="52"/>
      <c r="T156" s="59"/>
    </row>
    <row r="157" spans="1:20" s="56" customFormat="1" ht="12" x14ac:dyDescent="0.2">
      <c r="A157" s="94">
        <v>88489</v>
      </c>
      <c r="B157" s="80">
        <v>40940</v>
      </c>
      <c r="C157" s="74" t="s">
        <v>287</v>
      </c>
      <c r="D157" s="73" t="s">
        <v>14</v>
      </c>
      <c r="E157" s="75">
        <v>606.17999999999995</v>
      </c>
      <c r="F157" s="75">
        <f>ROUND(T157*$T$10,2)</f>
        <v>8.41</v>
      </c>
      <c r="G157" s="75">
        <f>ROUND(F157*(1+$U$1),2)</f>
        <v>10.73</v>
      </c>
      <c r="H157" s="76">
        <f>ROUND(E157*G157,2)</f>
        <v>6504.31</v>
      </c>
      <c r="I157" s="75"/>
      <c r="J157" s="75"/>
      <c r="K157" s="75">
        <f>E157-I157</f>
        <v>606.17999999999995</v>
      </c>
      <c r="L157" s="76">
        <f>ROUND(E157*F157,2)</f>
        <v>5097.97</v>
      </c>
      <c r="M157" s="76">
        <f>I157*G157</f>
        <v>0</v>
      </c>
      <c r="N157" s="76">
        <f>J157*G157</f>
        <v>0</v>
      </c>
      <c r="O157" s="76">
        <f>H157-N157</f>
        <v>6504.31</v>
      </c>
      <c r="P157" s="76"/>
      <c r="Q157" s="51"/>
      <c r="T157" s="53">
        <v>8.41</v>
      </c>
    </row>
    <row r="158" spans="1:20" s="56" customFormat="1" ht="12" x14ac:dyDescent="0.2">
      <c r="A158" s="72"/>
      <c r="B158" s="70" t="s">
        <v>292</v>
      </c>
      <c r="C158" s="71" t="s">
        <v>235</v>
      </c>
      <c r="D158" s="71"/>
      <c r="E158" s="71"/>
      <c r="F158" s="75"/>
      <c r="G158" s="72"/>
      <c r="H158" s="72"/>
      <c r="I158" s="71"/>
      <c r="J158" s="71"/>
      <c r="K158" s="71"/>
      <c r="L158" s="72"/>
      <c r="M158" s="72"/>
      <c r="N158" s="72"/>
      <c r="O158" s="72"/>
      <c r="P158" s="72"/>
      <c r="Q158" s="52"/>
      <c r="T158" s="59"/>
    </row>
    <row r="159" spans="1:20" s="56" customFormat="1" ht="12" x14ac:dyDescent="0.2">
      <c r="A159" s="94">
        <v>88487</v>
      </c>
      <c r="B159" s="73" t="s">
        <v>293</v>
      </c>
      <c r="C159" s="74" t="s">
        <v>289</v>
      </c>
      <c r="D159" s="73" t="s">
        <v>14</v>
      </c>
      <c r="E159" s="75">
        <v>732.68</v>
      </c>
      <c r="F159" s="75">
        <f>ROUND(T159*$T$10,2)</f>
        <v>6.56</v>
      </c>
      <c r="G159" s="75">
        <f>ROUND(F159*(1+$U$1),2)</f>
        <v>8.3699999999999992</v>
      </c>
      <c r="H159" s="76">
        <f>ROUND(E159*G159,2)</f>
        <v>6132.53</v>
      </c>
      <c r="I159" s="75"/>
      <c r="J159" s="75"/>
      <c r="K159" s="75">
        <f>E159-I159</f>
        <v>732.68</v>
      </c>
      <c r="L159" s="76">
        <f>ROUND(E159*F159,2)</f>
        <v>4806.38</v>
      </c>
      <c r="M159" s="76">
        <f>I159*G159</f>
        <v>0</v>
      </c>
      <c r="N159" s="76">
        <f>J159*G159</f>
        <v>0</v>
      </c>
      <c r="O159" s="76">
        <f>H159-N159</f>
        <v>6132.53</v>
      </c>
      <c r="P159" s="76"/>
      <c r="Q159" s="51"/>
      <c r="T159" s="53">
        <v>6.56</v>
      </c>
    </row>
    <row r="160" spans="1:20" s="56" customFormat="1" ht="24" x14ac:dyDescent="0.2">
      <c r="A160" s="94">
        <v>88497</v>
      </c>
      <c r="B160" s="73" t="s">
        <v>294</v>
      </c>
      <c r="C160" s="74" t="s">
        <v>288</v>
      </c>
      <c r="D160" s="73" t="s">
        <v>14</v>
      </c>
      <c r="E160" s="75">
        <v>732.68</v>
      </c>
      <c r="F160" s="75">
        <f>ROUND(T160*$T$10,2)</f>
        <v>9.49</v>
      </c>
      <c r="G160" s="75">
        <f>ROUND(F160*(1+$U$1),2)</f>
        <v>12.11</v>
      </c>
      <c r="H160" s="76">
        <f>ROUND(E160*G160,2)</f>
        <v>8872.75</v>
      </c>
      <c r="I160" s="75"/>
      <c r="J160" s="75"/>
      <c r="K160" s="75">
        <f>E160-I160</f>
        <v>732.68</v>
      </c>
      <c r="L160" s="76">
        <f>ROUND(E160*F160,2)</f>
        <v>6953.13</v>
      </c>
      <c r="M160" s="76">
        <f>I160*G160</f>
        <v>0</v>
      </c>
      <c r="N160" s="76">
        <f>J160*G160</f>
        <v>0</v>
      </c>
      <c r="O160" s="76">
        <f>H160-N160</f>
        <v>8872.75</v>
      </c>
      <c r="P160" s="76"/>
      <c r="Q160" s="51"/>
      <c r="T160" s="53">
        <v>9.49</v>
      </c>
    </row>
    <row r="161" spans="1:20" s="56" customFormat="1" ht="12" x14ac:dyDescent="0.2">
      <c r="A161" s="72"/>
      <c r="B161" s="70" t="s">
        <v>295</v>
      </c>
      <c r="C161" s="71" t="s">
        <v>296</v>
      </c>
      <c r="D161" s="71"/>
      <c r="E161" s="71"/>
      <c r="F161" s="75"/>
      <c r="G161" s="72"/>
      <c r="H161" s="72"/>
      <c r="I161" s="71"/>
      <c r="J161" s="71"/>
      <c r="K161" s="71"/>
      <c r="L161" s="72"/>
      <c r="M161" s="72"/>
      <c r="N161" s="72"/>
      <c r="O161" s="72"/>
      <c r="P161" s="72"/>
      <c r="Q161" s="52"/>
      <c r="T161" s="59"/>
    </row>
    <row r="162" spans="1:20" s="56" customFormat="1" ht="12" x14ac:dyDescent="0.2">
      <c r="A162" s="73" t="s">
        <v>297</v>
      </c>
      <c r="B162" s="80">
        <v>41000</v>
      </c>
      <c r="C162" s="74" t="s">
        <v>298</v>
      </c>
      <c r="D162" s="73" t="s">
        <v>14</v>
      </c>
      <c r="E162" s="75">
        <v>257.60000000000002</v>
      </c>
      <c r="F162" s="75">
        <f>ROUND(T162*$T$10,2)</f>
        <v>13.87</v>
      </c>
      <c r="G162" s="75">
        <f>ROUND(F162*(1+$U$1),2)</f>
        <v>17.7</v>
      </c>
      <c r="H162" s="76">
        <f>ROUND(E162*G162,2)</f>
        <v>4559.5200000000004</v>
      </c>
      <c r="I162" s="75"/>
      <c r="J162" s="75"/>
      <c r="K162" s="75">
        <f>E162-I162</f>
        <v>257.60000000000002</v>
      </c>
      <c r="L162" s="76">
        <f>ROUND(E162*F162,2)</f>
        <v>3572.91</v>
      </c>
      <c r="M162" s="76">
        <f>I162*G162</f>
        <v>0</v>
      </c>
      <c r="N162" s="76">
        <f>J162*G162</f>
        <v>0</v>
      </c>
      <c r="O162" s="76">
        <f>H162-N162</f>
        <v>4559.5200000000004</v>
      </c>
      <c r="P162" s="76"/>
      <c r="Q162" s="51"/>
      <c r="T162" s="53">
        <v>13.87</v>
      </c>
    </row>
    <row r="163" spans="1:20" s="56" customFormat="1" ht="12" x14ac:dyDescent="0.2">
      <c r="A163" s="94">
        <v>40905</v>
      </c>
      <c r="B163" s="80">
        <v>41001</v>
      </c>
      <c r="C163" s="74" t="s">
        <v>299</v>
      </c>
      <c r="D163" s="73" t="s">
        <v>14</v>
      </c>
      <c r="E163" s="75">
        <v>54.8</v>
      </c>
      <c r="F163" s="75">
        <f>ROUND(T163*$T$10,2)</f>
        <v>16.510000000000002</v>
      </c>
      <c r="G163" s="75">
        <f>ROUND(F163*(1+$U$1),2)</f>
        <v>21.07</v>
      </c>
      <c r="H163" s="76">
        <f>ROUND(E163*G163,2)</f>
        <v>1154.6400000000001</v>
      </c>
      <c r="I163" s="75"/>
      <c r="J163" s="75"/>
      <c r="K163" s="75">
        <f>E163-I163</f>
        <v>54.8</v>
      </c>
      <c r="L163" s="76">
        <f>ROUND(E163*F163,2)</f>
        <v>904.75</v>
      </c>
      <c r="M163" s="76">
        <f>I163*G163</f>
        <v>0</v>
      </c>
      <c r="N163" s="76">
        <f>J163*G163</f>
        <v>0</v>
      </c>
      <c r="O163" s="76">
        <f>H163-N163</f>
        <v>1154.6400000000001</v>
      </c>
      <c r="P163" s="76"/>
      <c r="Q163" s="51"/>
      <c r="T163" s="53">
        <v>16.510000000000002</v>
      </c>
    </row>
    <row r="164" spans="1:20" s="56" customFormat="1" ht="12" x14ac:dyDescent="0.2">
      <c r="A164" s="73" t="s">
        <v>300</v>
      </c>
      <c r="B164" s="80">
        <v>41002</v>
      </c>
      <c r="C164" s="74" t="s">
        <v>301</v>
      </c>
      <c r="D164" s="73" t="s">
        <v>14</v>
      </c>
      <c r="E164" s="75">
        <v>170.5</v>
      </c>
      <c r="F164" s="75">
        <f>ROUND(T164*$T$10,2)</f>
        <v>20.6</v>
      </c>
      <c r="G164" s="75">
        <f>ROUND(F164*(1+$U$1),2)</f>
        <v>26.28</v>
      </c>
      <c r="H164" s="76">
        <f>ROUND(E164*G164,2)</f>
        <v>4480.74</v>
      </c>
      <c r="I164" s="75"/>
      <c r="J164" s="75"/>
      <c r="K164" s="75">
        <f>E164-I164</f>
        <v>170.5</v>
      </c>
      <c r="L164" s="76">
        <f>ROUND(E164*F164,2)</f>
        <v>3512.3</v>
      </c>
      <c r="M164" s="76">
        <f>I164*G164</f>
        <v>0</v>
      </c>
      <c r="N164" s="76">
        <f>J164*G164</f>
        <v>0</v>
      </c>
      <c r="O164" s="76">
        <f>H164-N164</f>
        <v>4480.74</v>
      </c>
      <c r="P164" s="76"/>
      <c r="Q164" s="51"/>
      <c r="T164" s="53">
        <v>20.6</v>
      </c>
    </row>
    <row r="165" spans="1:20" s="56" customFormat="1" ht="12" x14ac:dyDescent="0.2">
      <c r="A165" s="72"/>
      <c r="B165" s="71"/>
      <c r="C165" s="71"/>
      <c r="D165" s="71"/>
      <c r="E165" s="71"/>
      <c r="F165" s="75"/>
      <c r="G165" s="77" t="s">
        <v>302</v>
      </c>
      <c r="H165" s="78">
        <f>SUM(H153:H164)</f>
        <v>46941.23</v>
      </c>
      <c r="I165" s="71"/>
      <c r="J165" s="71"/>
      <c r="K165" s="71"/>
      <c r="L165" s="78">
        <f>SUM(L153:L164)</f>
        <v>36788.69</v>
      </c>
      <c r="M165" s="78">
        <f>SUM(M153:M164)</f>
        <v>0</v>
      </c>
      <c r="N165" s="78">
        <f>SUM(N153:N164)</f>
        <v>0</v>
      </c>
      <c r="O165" s="78">
        <f>SUM(O153:O164)</f>
        <v>46941.23</v>
      </c>
      <c r="P165" s="78"/>
      <c r="Q165" s="60"/>
      <c r="T165" s="59"/>
    </row>
    <row r="166" spans="1:20" s="56" customFormat="1" ht="12" x14ac:dyDescent="0.2">
      <c r="A166" s="72"/>
      <c r="B166" s="70" t="s">
        <v>303</v>
      </c>
      <c r="C166" s="71" t="s">
        <v>304</v>
      </c>
      <c r="D166" s="71"/>
      <c r="E166" s="71"/>
      <c r="F166" s="75"/>
      <c r="G166" s="71"/>
      <c r="H166" s="72"/>
      <c r="I166" s="71"/>
      <c r="J166" s="71"/>
      <c r="K166" s="71"/>
      <c r="L166" s="71"/>
      <c r="M166" s="72"/>
      <c r="N166" s="72"/>
      <c r="O166" s="72"/>
      <c r="P166" s="72"/>
      <c r="Q166" s="52"/>
      <c r="T166" s="59"/>
    </row>
    <row r="167" spans="1:20" s="56" customFormat="1" ht="12" x14ac:dyDescent="0.2">
      <c r="A167" s="73" t="s">
        <v>305</v>
      </c>
      <c r="B167" s="73" t="s">
        <v>306</v>
      </c>
      <c r="C167" s="74" t="s">
        <v>307</v>
      </c>
      <c r="D167" s="73" t="s">
        <v>14</v>
      </c>
      <c r="E167" s="75">
        <v>43.5</v>
      </c>
      <c r="F167" s="75">
        <f t="shared" ref="F167:F187" si="42">ROUND(T167*$T$10,2)</f>
        <v>224.11</v>
      </c>
      <c r="G167" s="75">
        <f t="shared" ref="G167:G187" si="43">ROUND(F167*(1+$U$1),2)</f>
        <v>285.94</v>
      </c>
      <c r="H167" s="76">
        <f t="shared" ref="H167:H187" si="44">ROUND(E167*G167,2)</f>
        <v>12438.39</v>
      </c>
      <c r="I167" s="75"/>
      <c r="J167" s="75"/>
      <c r="K167" s="75">
        <f t="shared" ref="K167:K187" si="45">E167-I167</f>
        <v>43.5</v>
      </c>
      <c r="L167" s="76">
        <f t="shared" ref="L167:L187" si="46">ROUND(E167*F167,2)</f>
        <v>9748.7900000000009</v>
      </c>
      <c r="M167" s="76">
        <f t="shared" ref="M167:M187" si="47">I167*G167</f>
        <v>0</v>
      </c>
      <c r="N167" s="76">
        <f t="shared" ref="N167:N187" si="48">J167*G167</f>
        <v>0</v>
      </c>
      <c r="O167" s="76">
        <f t="shared" ref="O167:O187" si="49">H167-N167</f>
        <v>12438.39</v>
      </c>
      <c r="P167" s="76"/>
      <c r="Q167" s="51"/>
      <c r="T167" s="53">
        <v>224.11</v>
      </c>
    </row>
    <row r="168" spans="1:20" s="56" customFormat="1" ht="12" x14ac:dyDescent="0.2">
      <c r="A168" s="73" t="s">
        <v>308</v>
      </c>
      <c r="B168" s="73" t="s">
        <v>309</v>
      </c>
      <c r="C168" s="74" t="s">
        <v>310</v>
      </c>
      <c r="D168" s="73" t="s">
        <v>14</v>
      </c>
      <c r="E168" s="75">
        <v>10.5</v>
      </c>
      <c r="F168" s="75">
        <f t="shared" si="42"/>
        <v>312.5</v>
      </c>
      <c r="G168" s="75">
        <f t="shared" si="43"/>
        <v>398.72</v>
      </c>
      <c r="H168" s="76">
        <f t="shared" si="44"/>
        <v>4186.5600000000004</v>
      </c>
      <c r="I168" s="75"/>
      <c r="J168" s="75"/>
      <c r="K168" s="75">
        <f t="shared" si="45"/>
        <v>10.5</v>
      </c>
      <c r="L168" s="76">
        <f t="shared" si="46"/>
        <v>3281.25</v>
      </c>
      <c r="M168" s="76">
        <f t="shared" si="47"/>
        <v>0</v>
      </c>
      <c r="N168" s="76">
        <f t="shared" si="48"/>
        <v>0</v>
      </c>
      <c r="O168" s="76">
        <f t="shared" si="49"/>
        <v>4186.5600000000004</v>
      </c>
      <c r="P168" s="76"/>
      <c r="Q168" s="51"/>
      <c r="T168" s="53">
        <v>312.5</v>
      </c>
    </row>
    <row r="169" spans="1:20" s="56" customFormat="1" ht="24" x14ac:dyDescent="0.2">
      <c r="A169" s="73" t="s">
        <v>78</v>
      </c>
      <c r="B169" s="73" t="s">
        <v>311</v>
      </c>
      <c r="C169" s="74" t="s">
        <v>312</v>
      </c>
      <c r="D169" s="73" t="s">
        <v>14</v>
      </c>
      <c r="E169" s="75">
        <v>53</v>
      </c>
      <c r="F169" s="75">
        <f t="shared" si="42"/>
        <v>323.14</v>
      </c>
      <c r="G169" s="75">
        <f t="shared" si="43"/>
        <v>412.29</v>
      </c>
      <c r="H169" s="76">
        <f t="shared" si="44"/>
        <v>21851.37</v>
      </c>
      <c r="I169" s="75"/>
      <c r="J169" s="75"/>
      <c r="K169" s="75">
        <f t="shared" si="45"/>
        <v>53</v>
      </c>
      <c r="L169" s="76">
        <f t="shared" si="46"/>
        <v>17126.419999999998</v>
      </c>
      <c r="M169" s="76">
        <f t="shared" si="47"/>
        <v>0</v>
      </c>
      <c r="N169" s="76">
        <f t="shared" si="48"/>
        <v>0</v>
      </c>
      <c r="O169" s="76">
        <f t="shared" si="49"/>
        <v>21851.37</v>
      </c>
      <c r="P169" s="76"/>
      <c r="Q169" s="51"/>
      <c r="T169" s="53">
        <v>323.14</v>
      </c>
    </row>
    <row r="170" spans="1:20" s="56" customFormat="1" ht="12" x14ac:dyDescent="0.2">
      <c r="A170" s="73" t="s">
        <v>305</v>
      </c>
      <c r="B170" s="73" t="s">
        <v>313</v>
      </c>
      <c r="C170" s="74" t="s">
        <v>314</v>
      </c>
      <c r="D170" s="73" t="s">
        <v>14</v>
      </c>
      <c r="E170" s="75">
        <v>35.700000000000003</v>
      </c>
      <c r="F170" s="75">
        <f t="shared" si="42"/>
        <v>224.11</v>
      </c>
      <c r="G170" s="75">
        <f t="shared" si="43"/>
        <v>285.94</v>
      </c>
      <c r="H170" s="76">
        <f t="shared" si="44"/>
        <v>10208.06</v>
      </c>
      <c r="I170" s="75"/>
      <c r="J170" s="75"/>
      <c r="K170" s="75">
        <f t="shared" si="45"/>
        <v>35.700000000000003</v>
      </c>
      <c r="L170" s="76">
        <f t="shared" si="46"/>
        <v>8000.73</v>
      </c>
      <c r="M170" s="76">
        <f t="shared" si="47"/>
        <v>0</v>
      </c>
      <c r="N170" s="76">
        <f t="shared" si="48"/>
        <v>0</v>
      </c>
      <c r="O170" s="76">
        <f t="shared" si="49"/>
        <v>10208.06</v>
      </c>
      <c r="P170" s="76"/>
      <c r="Q170" s="51"/>
      <c r="T170" s="53">
        <v>224.11</v>
      </c>
    </row>
    <row r="171" spans="1:20" s="56" customFormat="1" ht="12" x14ac:dyDescent="0.2">
      <c r="A171" s="94">
        <v>20231</v>
      </c>
      <c r="B171" s="73" t="s">
        <v>315</v>
      </c>
      <c r="C171" s="74" t="s">
        <v>316</v>
      </c>
      <c r="D171" s="73" t="s">
        <v>81</v>
      </c>
      <c r="E171" s="75">
        <v>65.8</v>
      </c>
      <c r="F171" s="75">
        <f t="shared" si="42"/>
        <v>33.93</v>
      </c>
      <c r="G171" s="75">
        <f t="shared" si="43"/>
        <v>43.29</v>
      </c>
      <c r="H171" s="76">
        <f t="shared" si="44"/>
        <v>2848.48</v>
      </c>
      <c r="I171" s="75"/>
      <c r="J171" s="75"/>
      <c r="K171" s="75">
        <f t="shared" si="45"/>
        <v>65.8</v>
      </c>
      <c r="L171" s="76">
        <f t="shared" si="46"/>
        <v>2232.59</v>
      </c>
      <c r="M171" s="76">
        <f t="shared" si="47"/>
        <v>0</v>
      </c>
      <c r="N171" s="76">
        <f t="shared" si="48"/>
        <v>0</v>
      </c>
      <c r="O171" s="76">
        <f t="shared" si="49"/>
        <v>2848.48</v>
      </c>
      <c r="P171" s="76"/>
      <c r="Q171" s="51"/>
      <c r="T171" s="53">
        <v>33.93</v>
      </c>
    </row>
    <row r="172" spans="1:20" s="56" customFormat="1" ht="24" x14ac:dyDescent="0.2">
      <c r="A172" s="94">
        <v>20231</v>
      </c>
      <c r="B172" s="73" t="s">
        <v>317</v>
      </c>
      <c r="C172" s="74" t="s">
        <v>318</v>
      </c>
      <c r="D172" s="73" t="s">
        <v>81</v>
      </c>
      <c r="E172" s="75">
        <v>99.5</v>
      </c>
      <c r="F172" s="75">
        <f t="shared" si="42"/>
        <v>33.93</v>
      </c>
      <c r="G172" s="75">
        <f t="shared" si="43"/>
        <v>43.29</v>
      </c>
      <c r="H172" s="76">
        <f t="shared" si="44"/>
        <v>4307.3599999999997</v>
      </c>
      <c r="I172" s="75"/>
      <c r="J172" s="75"/>
      <c r="K172" s="75">
        <f t="shared" si="45"/>
        <v>99.5</v>
      </c>
      <c r="L172" s="76">
        <f t="shared" si="46"/>
        <v>3376.04</v>
      </c>
      <c r="M172" s="76">
        <f t="shared" si="47"/>
        <v>0</v>
      </c>
      <c r="N172" s="76">
        <f t="shared" si="48"/>
        <v>0</v>
      </c>
      <c r="O172" s="76">
        <f t="shared" si="49"/>
        <v>4307.3599999999997</v>
      </c>
      <c r="P172" s="76"/>
      <c r="Q172" s="51"/>
      <c r="T172" s="53">
        <v>33.93</v>
      </c>
    </row>
    <row r="173" spans="1:20" s="56" customFormat="1" ht="12" x14ac:dyDescent="0.2">
      <c r="A173" s="94">
        <v>20231</v>
      </c>
      <c r="B173" s="73" t="s">
        <v>319</v>
      </c>
      <c r="C173" s="74" t="s">
        <v>320</v>
      </c>
      <c r="D173" s="73" t="s">
        <v>81</v>
      </c>
      <c r="E173" s="75">
        <v>130.80000000000001</v>
      </c>
      <c r="F173" s="75">
        <f t="shared" si="42"/>
        <v>33.93</v>
      </c>
      <c r="G173" s="75">
        <f t="shared" si="43"/>
        <v>43.29</v>
      </c>
      <c r="H173" s="76">
        <f t="shared" si="44"/>
        <v>5662.33</v>
      </c>
      <c r="I173" s="75"/>
      <c r="J173" s="75"/>
      <c r="K173" s="75">
        <f t="shared" si="45"/>
        <v>130.80000000000001</v>
      </c>
      <c r="L173" s="76">
        <f t="shared" si="46"/>
        <v>4438.04</v>
      </c>
      <c r="M173" s="76">
        <f t="shared" si="47"/>
        <v>0</v>
      </c>
      <c r="N173" s="76">
        <f t="shared" si="48"/>
        <v>0</v>
      </c>
      <c r="O173" s="76">
        <f t="shared" si="49"/>
        <v>5662.33</v>
      </c>
      <c r="P173" s="76"/>
      <c r="Q173" s="51"/>
      <c r="T173" s="53">
        <v>33.93</v>
      </c>
    </row>
    <row r="174" spans="1:20" s="56" customFormat="1" ht="12" x14ac:dyDescent="0.2">
      <c r="A174" s="94">
        <v>20231</v>
      </c>
      <c r="B174" s="73" t="s">
        <v>321</v>
      </c>
      <c r="C174" s="74" t="s">
        <v>322</v>
      </c>
      <c r="D174" s="73" t="s">
        <v>81</v>
      </c>
      <c r="E174" s="75">
        <v>90.4</v>
      </c>
      <c r="F174" s="75">
        <f t="shared" si="42"/>
        <v>33.93</v>
      </c>
      <c r="G174" s="75">
        <f t="shared" si="43"/>
        <v>43.29</v>
      </c>
      <c r="H174" s="76">
        <f t="shared" si="44"/>
        <v>3913.42</v>
      </c>
      <c r="I174" s="75"/>
      <c r="J174" s="75"/>
      <c r="K174" s="75">
        <f t="shared" si="45"/>
        <v>90.4</v>
      </c>
      <c r="L174" s="76">
        <f t="shared" si="46"/>
        <v>3067.27</v>
      </c>
      <c r="M174" s="76">
        <f t="shared" si="47"/>
        <v>0</v>
      </c>
      <c r="N174" s="76">
        <f t="shared" si="48"/>
        <v>0</v>
      </c>
      <c r="O174" s="76">
        <f t="shared" si="49"/>
        <v>3913.42</v>
      </c>
      <c r="P174" s="76"/>
      <c r="Q174" s="51"/>
      <c r="T174" s="53">
        <v>33.93</v>
      </c>
    </row>
    <row r="175" spans="1:20" s="56" customFormat="1" ht="12" x14ac:dyDescent="0.2">
      <c r="A175" s="94">
        <v>20231</v>
      </c>
      <c r="B175" s="73" t="s">
        <v>323</v>
      </c>
      <c r="C175" s="74" t="s">
        <v>324</v>
      </c>
      <c r="D175" s="73" t="s">
        <v>81</v>
      </c>
      <c r="E175" s="75">
        <v>19.2</v>
      </c>
      <c r="F175" s="75">
        <f t="shared" si="42"/>
        <v>33.93</v>
      </c>
      <c r="G175" s="75">
        <f t="shared" si="43"/>
        <v>43.29</v>
      </c>
      <c r="H175" s="76">
        <f t="shared" si="44"/>
        <v>831.17</v>
      </c>
      <c r="I175" s="75"/>
      <c r="J175" s="75"/>
      <c r="K175" s="75">
        <f t="shared" si="45"/>
        <v>19.2</v>
      </c>
      <c r="L175" s="76">
        <f t="shared" si="46"/>
        <v>651.46</v>
      </c>
      <c r="M175" s="76">
        <f t="shared" si="47"/>
        <v>0</v>
      </c>
      <c r="N175" s="76">
        <f t="shared" si="48"/>
        <v>0</v>
      </c>
      <c r="O175" s="76">
        <f t="shared" si="49"/>
        <v>831.17</v>
      </c>
      <c r="P175" s="76"/>
      <c r="Q175" s="51"/>
      <c r="T175" s="53">
        <v>33.93</v>
      </c>
    </row>
    <row r="176" spans="1:20" s="56" customFormat="1" ht="12" x14ac:dyDescent="0.2">
      <c r="A176" s="73" t="s">
        <v>308</v>
      </c>
      <c r="B176" s="73" t="s">
        <v>325</v>
      </c>
      <c r="C176" s="74" t="s">
        <v>326</v>
      </c>
      <c r="D176" s="73" t="s">
        <v>102</v>
      </c>
      <c r="E176" s="75">
        <v>2</v>
      </c>
      <c r="F176" s="75">
        <f t="shared" si="42"/>
        <v>58.84</v>
      </c>
      <c r="G176" s="75">
        <f t="shared" si="43"/>
        <v>75.069999999999993</v>
      </c>
      <c r="H176" s="76">
        <f t="shared" si="44"/>
        <v>150.13999999999999</v>
      </c>
      <c r="I176" s="75"/>
      <c r="J176" s="75"/>
      <c r="K176" s="75">
        <f t="shared" si="45"/>
        <v>2</v>
      </c>
      <c r="L176" s="76">
        <f t="shared" si="46"/>
        <v>117.68</v>
      </c>
      <c r="M176" s="76">
        <f t="shared" si="47"/>
        <v>0</v>
      </c>
      <c r="N176" s="76">
        <f t="shared" si="48"/>
        <v>0</v>
      </c>
      <c r="O176" s="76">
        <f t="shared" si="49"/>
        <v>150.13999999999999</v>
      </c>
      <c r="P176" s="76"/>
      <c r="Q176" s="51"/>
      <c r="T176" s="53">
        <v>58.84</v>
      </c>
    </row>
    <row r="177" spans="1:20" s="56" customFormat="1" ht="12" x14ac:dyDescent="0.2">
      <c r="A177" s="94">
        <v>84862</v>
      </c>
      <c r="B177" s="73" t="s">
        <v>327</v>
      </c>
      <c r="C177" s="74" t="s">
        <v>328</v>
      </c>
      <c r="D177" s="73" t="s">
        <v>81</v>
      </c>
      <c r="E177" s="75">
        <v>10.9</v>
      </c>
      <c r="F177" s="75">
        <f t="shared" si="42"/>
        <v>190.09</v>
      </c>
      <c r="G177" s="75">
        <f t="shared" si="43"/>
        <v>242.54</v>
      </c>
      <c r="H177" s="76">
        <f t="shared" si="44"/>
        <v>2643.69</v>
      </c>
      <c r="I177" s="75"/>
      <c r="J177" s="75"/>
      <c r="K177" s="75">
        <f t="shared" si="45"/>
        <v>10.9</v>
      </c>
      <c r="L177" s="76">
        <f t="shared" si="46"/>
        <v>2071.98</v>
      </c>
      <c r="M177" s="76">
        <f t="shared" si="47"/>
        <v>0</v>
      </c>
      <c r="N177" s="76">
        <f t="shared" si="48"/>
        <v>0</v>
      </c>
      <c r="O177" s="76">
        <f t="shared" si="49"/>
        <v>2643.69</v>
      </c>
      <c r="P177" s="76"/>
      <c r="Q177" s="51"/>
      <c r="T177" s="53">
        <v>190.09</v>
      </c>
    </row>
    <row r="178" spans="1:20" s="56" customFormat="1" ht="12" x14ac:dyDescent="0.2">
      <c r="A178" s="73" t="s">
        <v>329</v>
      </c>
      <c r="B178" s="73" t="s">
        <v>330</v>
      </c>
      <c r="C178" s="74" t="s">
        <v>331</v>
      </c>
      <c r="D178" s="73" t="s">
        <v>81</v>
      </c>
      <c r="E178" s="75">
        <v>11.79</v>
      </c>
      <c r="F178" s="75">
        <f t="shared" si="42"/>
        <v>222.14</v>
      </c>
      <c r="G178" s="75">
        <f t="shared" si="43"/>
        <v>283.43</v>
      </c>
      <c r="H178" s="76">
        <f t="shared" si="44"/>
        <v>3341.64</v>
      </c>
      <c r="I178" s="75"/>
      <c r="J178" s="75"/>
      <c r="K178" s="75">
        <f t="shared" si="45"/>
        <v>11.79</v>
      </c>
      <c r="L178" s="76">
        <f t="shared" si="46"/>
        <v>2619.0300000000002</v>
      </c>
      <c r="M178" s="76">
        <f t="shared" si="47"/>
        <v>0</v>
      </c>
      <c r="N178" s="76">
        <f t="shared" si="48"/>
        <v>0</v>
      </c>
      <c r="O178" s="76">
        <f t="shared" si="49"/>
        <v>3341.64</v>
      </c>
      <c r="P178" s="76"/>
      <c r="Q178" s="51"/>
      <c r="T178" s="53">
        <v>222.14</v>
      </c>
    </row>
    <row r="179" spans="1:20" s="56" customFormat="1" ht="24" x14ac:dyDescent="0.2">
      <c r="A179" s="73" t="s">
        <v>78</v>
      </c>
      <c r="B179" s="73" t="s">
        <v>332</v>
      </c>
      <c r="C179" s="74" t="s">
        <v>333</v>
      </c>
      <c r="D179" s="73" t="s">
        <v>102</v>
      </c>
      <c r="E179" s="75">
        <v>1</v>
      </c>
      <c r="F179" s="75">
        <f t="shared" si="42"/>
        <v>474.97</v>
      </c>
      <c r="G179" s="75">
        <f t="shared" si="43"/>
        <v>606.01</v>
      </c>
      <c r="H179" s="76">
        <f t="shared" si="44"/>
        <v>606.01</v>
      </c>
      <c r="I179" s="75"/>
      <c r="J179" s="75"/>
      <c r="K179" s="75">
        <f t="shared" si="45"/>
        <v>1</v>
      </c>
      <c r="L179" s="76">
        <f t="shared" si="46"/>
        <v>474.97</v>
      </c>
      <c r="M179" s="76">
        <f t="shared" si="47"/>
        <v>0</v>
      </c>
      <c r="N179" s="76">
        <f t="shared" si="48"/>
        <v>0</v>
      </c>
      <c r="O179" s="76">
        <f t="shared" si="49"/>
        <v>606.01</v>
      </c>
      <c r="P179" s="76"/>
      <c r="Q179" s="51"/>
      <c r="T179" s="53">
        <v>474.97</v>
      </c>
    </row>
    <row r="180" spans="1:20" s="56" customFormat="1" ht="12" x14ac:dyDescent="0.2">
      <c r="A180" s="73" t="s">
        <v>308</v>
      </c>
      <c r="B180" s="73" t="s">
        <v>334</v>
      </c>
      <c r="C180" s="74" t="s">
        <v>335</v>
      </c>
      <c r="D180" s="73" t="s">
        <v>336</v>
      </c>
      <c r="E180" s="75">
        <v>2</v>
      </c>
      <c r="F180" s="75">
        <f t="shared" si="42"/>
        <v>891.52</v>
      </c>
      <c r="G180" s="75">
        <f t="shared" si="43"/>
        <v>1137.49</v>
      </c>
      <c r="H180" s="76">
        <f t="shared" si="44"/>
        <v>2274.98</v>
      </c>
      <c r="I180" s="75"/>
      <c r="J180" s="75"/>
      <c r="K180" s="75">
        <f t="shared" si="45"/>
        <v>2</v>
      </c>
      <c r="L180" s="76">
        <f t="shared" si="46"/>
        <v>1783.04</v>
      </c>
      <c r="M180" s="76">
        <f t="shared" si="47"/>
        <v>0</v>
      </c>
      <c r="N180" s="76">
        <f t="shared" si="48"/>
        <v>0</v>
      </c>
      <c r="O180" s="76">
        <f t="shared" si="49"/>
        <v>2274.98</v>
      </c>
      <c r="P180" s="76"/>
      <c r="Q180" s="51"/>
      <c r="T180" s="53">
        <v>891.52</v>
      </c>
    </row>
    <row r="181" spans="1:20" s="56" customFormat="1" ht="12" x14ac:dyDescent="0.2">
      <c r="A181" s="73" t="s">
        <v>308</v>
      </c>
      <c r="B181" s="73" t="s">
        <v>337</v>
      </c>
      <c r="C181" s="74" t="s">
        <v>338</v>
      </c>
      <c r="D181" s="73" t="s">
        <v>102</v>
      </c>
      <c r="E181" s="75">
        <v>8</v>
      </c>
      <c r="F181" s="75">
        <f t="shared" si="42"/>
        <v>179</v>
      </c>
      <c r="G181" s="75">
        <f t="shared" si="43"/>
        <v>228.39</v>
      </c>
      <c r="H181" s="76">
        <f t="shared" si="44"/>
        <v>1827.12</v>
      </c>
      <c r="I181" s="75"/>
      <c r="J181" s="75"/>
      <c r="K181" s="75">
        <f t="shared" si="45"/>
        <v>8</v>
      </c>
      <c r="L181" s="76">
        <f t="shared" si="46"/>
        <v>1432</v>
      </c>
      <c r="M181" s="76">
        <f t="shared" si="47"/>
        <v>0</v>
      </c>
      <c r="N181" s="76">
        <f t="shared" si="48"/>
        <v>0</v>
      </c>
      <c r="O181" s="76">
        <f t="shared" si="49"/>
        <v>1827.12</v>
      </c>
      <c r="P181" s="76"/>
      <c r="Q181" s="51"/>
      <c r="T181" s="53">
        <v>179</v>
      </c>
    </row>
    <row r="182" spans="1:20" s="56" customFormat="1" ht="12" x14ac:dyDescent="0.2">
      <c r="A182" s="73" t="s">
        <v>308</v>
      </c>
      <c r="B182" s="73" t="s">
        <v>339</v>
      </c>
      <c r="C182" s="74" t="s">
        <v>340</v>
      </c>
      <c r="D182" s="73" t="s">
        <v>336</v>
      </c>
      <c r="E182" s="75">
        <v>2</v>
      </c>
      <c r="F182" s="75">
        <f t="shared" si="42"/>
        <v>144</v>
      </c>
      <c r="G182" s="75">
        <f t="shared" si="43"/>
        <v>183.73</v>
      </c>
      <c r="H182" s="76">
        <f t="shared" si="44"/>
        <v>367.46</v>
      </c>
      <c r="I182" s="75"/>
      <c r="J182" s="75"/>
      <c r="K182" s="75">
        <f t="shared" si="45"/>
        <v>2</v>
      </c>
      <c r="L182" s="76">
        <f t="shared" si="46"/>
        <v>288</v>
      </c>
      <c r="M182" s="76">
        <f t="shared" si="47"/>
        <v>0</v>
      </c>
      <c r="N182" s="76">
        <f t="shared" si="48"/>
        <v>0</v>
      </c>
      <c r="O182" s="76">
        <f t="shared" si="49"/>
        <v>367.46</v>
      </c>
      <c r="P182" s="76"/>
      <c r="Q182" s="51"/>
      <c r="T182" s="53">
        <v>144</v>
      </c>
    </row>
    <row r="183" spans="1:20" s="56" customFormat="1" ht="12" x14ac:dyDescent="0.2">
      <c r="A183" s="73" t="s">
        <v>78</v>
      </c>
      <c r="B183" s="73" t="s">
        <v>341</v>
      </c>
      <c r="C183" s="74" t="s">
        <v>342</v>
      </c>
      <c r="D183" s="73" t="s">
        <v>81</v>
      </c>
      <c r="E183" s="75">
        <v>2.85</v>
      </c>
      <c r="F183" s="75">
        <f t="shared" si="42"/>
        <v>201.25</v>
      </c>
      <c r="G183" s="75">
        <f t="shared" si="43"/>
        <v>256.77</v>
      </c>
      <c r="H183" s="76">
        <f t="shared" si="44"/>
        <v>731.79</v>
      </c>
      <c r="I183" s="75"/>
      <c r="J183" s="75"/>
      <c r="K183" s="75">
        <f t="shared" si="45"/>
        <v>2.85</v>
      </c>
      <c r="L183" s="76">
        <f t="shared" si="46"/>
        <v>573.55999999999995</v>
      </c>
      <c r="M183" s="76">
        <f t="shared" si="47"/>
        <v>0</v>
      </c>
      <c r="N183" s="76">
        <f t="shared" si="48"/>
        <v>0</v>
      </c>
      <c r="O183" s="76">
        <f t="shared" si="49"/>
        <v>731.79</v>
      </c>
      <c r="P183" s="76"/>
      <c r="Q183" s="51"/>
      <c r="T183" s="53">
        <v>201.25</v>
      </c>
    </row>
    <row r="184" spans="1:20" s="56" customFormat="1" ht="12" x14ac:dyDescent="0.2">
      <c r="A184" s="73" t="s">
        <v>78</v>
      </c>
      <c r="B184" s="73" t="s">
        <v>343</v>
      </c>
      <c r="C184" s="74" t="s">
        <v>344</v>
      </c>
      <c r="D184" s="73" t="s">
        <v>81</v>
      </c>
      <c r="E184" s="75">
        <v>9.1999999999999993</v>
      </c>
      <c r="F184" s="75">
        <f t="shared" si="42"/>
        <v>356.72</v>
      </c>
      <c r="G184" s="75">
        <f t="shared" si="43"/>
        <v>455.14</v>
      </c>
      <c r="H184" s="76">
        <f t="shared" si="44"/>
        <v>4187.29</v>
      </c>
      <c r="I184" s="75"/>
      <c r="J184" s="75"/>
      <c r="K184" s="75">
        <f t="shared" si="45"/>
        <v>9.1999999999999993</v>
      </c>
      <c r="L184" s="76">
        <f t="shared" si="46"/>
        <v>3281.82</v>
      </c>
      <c r="M184" s="76">
        <f t="shared" si="47"/>
        <v>0</v>
      </c>
      <c r="N184" s="76">
        <f t="shared" si="48"/>
        <v>0</v>
      </c>
      <c r="O184" s="76">
        <f t="shared" si="49"/>
        <v>4187.29</v>
      </c>
      <c r="P184" s="76"/>
      <c r="Q184" s="51"/>
      <c r="T184" s="53">
        <v>356.72</v>
      </c>
    </row>
    <row r="185" spans="1:20" s="56" customFormat="1" ht="12" x14ac:dyDescent="0.2">
      <c r="A185" s="73" t="s">
        <v>345</v>
      </c>
      <c r="B185" s="73" t="s">
        <v>346</v>
      </c>
      <c r="C185" s="74" t="s">
        <v>347</v>
      </c>
      <c r="D185" s="73" t="s">
        <v>102</v>
      </c>
      <c r="E185" s="75">
        <v>3</v>
      </c>
      <c r="F185" s="75">
        <f t="shared" si="42"/>
        <v>2030.45</v>
      </c>
      <c r="G185" s="75">
        <f t="shared" si="43"/>
        <v>2590.65</v>
      </c>
      <c r="H185" s="76">
        <f t="shared" si="44"/>
        <v>7771.95</v>
      </c>
      <c r="I185" s="75"/>
      <c r="J185" s="75"/>
      <c r="K185" s="75">
        <f t="shared" si="45"/>
        <v>3</v>
      </c>
      <c r="L185" s="76">
        <f t="shared" si="46"/>
        <v>6091.35</v>
      </c>
      <c r="M185" s="76">
        <f t="shared" si="47"/>
        <v>0</v>
      </c>
      <c r="N185" s="76">
        <f t="shared" si="48"/>
        <v>0</v>
      </c>
      <c r="O185" s="76">
        <f t="shared" si="49"/>
        <v>7771.95</v>
      </c>
      <c r="P185" s="76"/>
      <c r="Q185" s="51"/>
      <c r="T185" s="51">
        <v>2030.45</v>
      </c>
    </row>
    <row r="186" spans="1:20" s="56" customFormat="1" ht="12" x14ac:dyDescent="0.2">
      <c r="A186" s="73" t="s">
        <v>308</v>
      </c>
      <c r="B186" s="73" t="s">
        <v>348</v>
      </c>
      <c r="C186" s="74" t="s">
        <v>349</v>
      </c>
      <c r="D186" s="73" t="s">
        <v>102</v>
      </c>
      <c r="E186" s="75">
        <v>2</v>
      </c>
      <c r="F186" s="75">
        <f t="shared" si="42"/>
        <v>415</v>
      </c>
      <c r="G186" s="75">
        <f t="shared" si="43"/>
        <v>529.5</v>
      </c>
      <c r="H186" s="76">
        <f t="shared" si="44"/>
        <v>1059</v>
      </c>
      <c r="I186" s="75"/>
      <c r="J186" s="75"/>
      <c r="K186" s="75">
        <f t="shared" si="45"/>
        <v>2</v>
      </c>
      <c r="L186" s="76">
        <f t="shared" si="46"/>
        <v>830</v>
      </c>
      <c r="M186" s="76">
        <f t="shared" si="47"/>
        <v>0</v>
      </c>
      <c r="N186" s="76">
        <f t="shared" si="48"/>
        <v>0</v>
      </c>
      <c r="O186" s="76">
        <f t="shared" si="49"/>
        <v>1059</v>
      </c>
      <c r="P186" s="76"/>
      <c r="Q186" s="51"/>
      <c r="T186" s="53">
        <v>415</v>
      </c>
    </row>
    <row r="187" spans="1:20" s="56" customFormat="1" ht="12" x14ac:dyDescent="0.2">
      <c r="A187" s="73" t="s">
        <v>308</v>
      </c>
      <c r="B187" s="73" t="s">
        <v>350</v>
      </c>
      <c r="C187" s="74" t="s">
        <v>351</v>
      </c>
      <c r="D187" s="73" t="s">
        <v>102</v>
      </c>
      <c r="E187" s="75">
        <v>1</v>
      </c>
      <c r="F187" s="75">
        <f t="shared" si="42"/>
        <v>63.04</v>
      </c>
      <c r="G187" s="75">
        <f t="shared" si="43"/>
        <v>80.430000000000007</v>
      </c>
      <c r="H187" s="76">
        <f t="shared" si="44"/>
        <v>80.430000000000007</v>
      </c>
      <c r="I187" s="75"/>
      <c r="J187" s="75"/>
      <c r="K187" s="75">
        <f t="shared" si="45"/>
        <v>1</v>
      </c>
      <c r="L187" s="76">
        <f t="shared" si="46"/>
        <v>63.04</v>
      </c>
      <c r="M187" s="76">
        <f t="shared" si="47"/>
        <v>0</v>
      </c>
      <c r="N187" s="76">
        <f t="shared" si="48"/>
        <v>0</v>
      </c>
      <c r="O187" s="76">
        <f t="shared" si="49"/>
        <v>80.430000000000007</v>
      </c>
      <c r="P187" s="76"/>
      <c r="Q187" s="51"/>
      <c r="T187" s="53">
        <v>63.04</v>
      </c>
    </row>
    <row r="188" spans="1:20" s="56" customFormat="1" ht="12" x14ac:dyDescent="0.2">
      <c r="A188" s="72"/>
      <c r="B188" s="71"/>
      <c r="C188" s="71"/>
      <c r="D188" s="71"/>
      <c r="E188" s="71"/>
      <c r="F188" s="75"/>
      <c r="G188" s="77" t="s">
        <v>352</v>
      </c>
      <c r="H188" s="78">
        <f>SUM(H167:H187)</f>
        <v>91288.63999999997</v>
      </c>
      <c r="I188" s="71"/>
      <c r="J188" s="71"/>
      <c r="K188" s="71"/>
      <c r="L188" s="78">
        <f>SUM(L167:L187)</f>
        <v>71549.06</v>
      </c>
      <c r="M188" s="78">
        <f>SUM(M167:M187)</f>
        <v>0</v>
      </c>
      <c r="N188" s="78">
        <f>SUM(N167:N187)</f>
        <v>0</v>
      </c>
      <c r="O188" s="78">
        <f>SUM(O167:O187)</f>
        <v>91288.63999999997</v>
      </c>
      <c r="P188" s="78"/>
      <c r="Q188" s="60"/>
      <c r="R188" s="58"/>
      <c r="T188" s="59"/>
    </row>
    <row r="189" spans="1:20" s="56" customFormat="1" ht="12" x14ac:dyDescent="0.2">
      <c r="A189" s="72"/>
      <c r="B189" s="70" t="s">
        <v>353</v>
      </c>
      <c r="C189" s="71" t="s">
        <v>354</v>
      </c>
      <c r="D189" s="72"/>
      <c r="E189" s="72"/>
      <c r="F189" s="75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52"/>
      <c r="T189" s="52"/>
    </row>
    <row r="190" spans="1:20" s="56" customFormat="1" ht="12" x14ac:dyDescent="0.2">
      <c r="A190" s="72"/>
      <c r="B190" s="70" t="s">
        <v>355</v>
      </c>
      <c r="C190" s="71" t="s">
        <v>356</v>
      </c>
      <c r="D190" s="72"/>
      <c r="E190" s="72"/>
      <c r="F190" s="75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52"/>
      <c r="T190" s="52"/>
    </row>
    <row r="191" spans="1:20" s="56" customFormat="1" ht="12" x14ac:dyDescent="0.2">
      <c r="A191" s="72"/>
      <c r="B191" s="81">
        <v>41640</v>
      </c>
      <c r="C191" s="71" t="s">
        <v>357</v>
      </c>
      <c r="D191" s="72"/>
      <c r="E191" s="72"/>
      <c r="F191" s="75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52"/>
      <c r="T191" s="52"/>
    </row>
    <row r="192" spans="1:20" s="56" customFormat="1" ht="12" x14ac:dyDescent="0.2">
      <c r="A192" s="73" t="s">
        <v>358</v>
      </c>
      <c r="B192" s="73" t="s">
        <v>359</v>
      </c>
      <c r="C192" s="74" t="s">
        <v>360</v>
      </c>
      <c r="D192" s="73" t="s">
        <v>81</v>
      </c>
      <c r="E192" s="75">
        <v>172</v>
      </c>
      <c r="F192" s="75">
        <f>ROUND(T192*$T$10,2)</f>
        <v>11.27</v>
      </c>
      <c r="G192" s="75">
        <f>ROUND(F192*(1+$U$1),2)</f>
        <v>14.38</v>
      </c>
      <c r="H192" s="76">
        <f>ROUND(E192*G192,2)</f>
        <v>2473.36</v>
      </c>
      <c r="I192" s="75"/>
      <c r="J192" s="75"/>
      <c r="K192" s="75">
        <f>E192-I192</f>
        <v>172</v>
      </c>
      <c r="L192" s="76">
        <f>ROUND(E192*F192,2)</f>
        <v>1938.44</v>
      </c>
      <c r="M192" s="76">
        <f>I192*G192</f>
        <v>0</v>
      </c>
      <c r="N192" s="76">
        <f>J192*G192</f>
        <v>0</v>
      </c>
      <c r="O192" s="76">
        <f>H192-N192</f>
        <v>2473.36</v>
      </c>
      <c r="P192" s="76"/>
      <c r="Q192" s="51"/>
      <c r="T192" s="53">
        <v>11.27</v>
      </c>
    </row>
    <row r="193" spans="1:20" s="56" customFormat="1" ht="12" x14ac:dyDescent="0.2">
      <c r="A193" s="73" t="s">
        <v>361</v>
      </c>
      <c r="B193" s="73" t="s">
        <v>362</v>
      </c>
      <c r="C193" s="74" t="s">
        <v>363</v>
      </c>
      <c r="D193" s="73" t="s">
        <v>81</v>
      </c>
      <c r="E193" s="75">
        <v>169</v>
      </c>
      <c r="F193" s="75">
        <f>ROUND(T193*$T$10,2)</f>
        <v>11.89</v>
      </c>
      <c r="G193" s="75">
        <f>ROUND(F193*(1+$U$1),2)</f>
        <v>15.17</v>
      </c>
      <c r="H193" s="76">
        <f>ROUND(E193*G193,2)</f>
        <v>2563.73</v>
      </c>
      <c r="I193" s="75"/>
      <c r="J193" s="75"/>
      <c r="K193" s="75">
        <f>E193-I193</f>
        <v>169</v>
      </c>
      <c r="L193" s="76">
        <f>ROUND(E193*F193,2)</f>
        <v>2009.41</v>
      </c>
      <c r="M193" s="76">
        <f>I193*G193</f>
        <v>0</v>
      </c>
      <c r="N193" s="76">
        <f>J193*G193</f>
        <v>0</v>
      </c>
      <c r="O193" s="76">
        <f>H193-N193</f>
        <v>2563.73</v>
      </c>
      <c r="P193" s="76"/>
      <c r="Q193" s="51"/>
      <c r="T193" s="53">
        <v>11.89</v>
      </c>
    </row>
    <row r="194" spans="1:20" s="56" customFormat="1" ht="12" x14ac:dyDescent="0.2">
      <c r="A194" s="73" t="s">
        <v>364</v>
      </c>
      <c r="B194" s="73" t="s">
        <v>365</v>
      </c>
      <c r="C194" s="74" t="s">
        <v>366</v>
      </c>
      <c r="D194" s="73" t="s">
        <v>81</v>
      </c>
      <c r="E194" s="75">
        <v>66</v>
      </c>
      <c r="F194" s="75">
        <f>ROUND(T194*$T$10,2)</f>
        <v>28.56</v>
      </c>
      <c r="G194" s="75">
        <f>ROUND(F194*(1+$U$1),2)</f>
        <v>36.44</v>
      </c>
      <c r="H194" s="76">
        <f>ROUND(E194*G194,2)</f>
        <v>2405.04</v>
      </c>
      <c r="I194" s="75"/>
      <c r="J194" s="75"/>
      <c r="K194" s="75">
        <f>E194-I194</f>
        <v>66</v>
      </c>
      <c r="L194" s="76">
        <f>ROUND(E194*F194,2)</f>
        <v>1884.96</v>
      </c>
      <c r="M194" s="76">
        <f>I194*G194</f>
        <v>0</v>
      </c>
      <c r="N194" s="76">
        <f>J194*G194</f>
        <v>0</v>
      </c>
      <c r="O194" s="76">
        <f>H194-N194</f>
        <v>2405.04</v>
      </c>
      <c r="P194" s="76"/>
      <c r="Q194" s="51"/>
      <c r="T194" s="53">
        <v>28.56</v>
      </c>
    </row>
    <row r="195" spans="1:20" s="56" customFormat="1" ht="12" x14ac:dyDescent="0.2">
      <c r="A195" s="73" t="s">
        <v>367</v>
      </c>
      <c r="B195" s="73" t="s">
        <v>368</v>
      </c>
      <c r="C195" s="74" t="s">
        <v>369</v>
      </c>
      <c r="D195" s="73" t="s">
        <v>81</v>
      </c>
      <c r="E195" s="75">
        <v>39</v>
      </c>
      <c r="F195" s="75">
        <f>ROUND(T195*$T$10,2)</f>
        <v>35.53</v>
      </c>
      <c r="G195" s="75">
        <f>ROUND(F195*(1+$U$1),2)</f>
        <v>45.33</v>
      </c>
      <c r="H195" s="76">
        <f>ROUND(E195*G195,2)</f>
        <v>1767.87</v>
      </c>
      <c r="I195" s="75"/>
      <c r="J195" s="75"/>
      <c r="K195" s="75">
        <f>E195-I195</f>
        <v>39</v>
      </c>
      <c r="L195" s="76">
        <f>ROUND(E195*F195,2)</f>
        <v>1385.67</v>
      </c>
      <c r="M195" s="76">
        <f>I195*G195</f>
        <v>0</v>
      </c>
      <c r="N195" s="76">
        <f>J195*G195</f>
        <v>0</v>
      </c>
      <c r="O195" s="76">
        <f>H195-N195</f>
        <v>1767.87</v>
      </c>
      <c r="P195" s="76"/>
      <c r="Q195" s="51"/>
      <c r="T195" s="53">
        <v>35.53</v>
      </c>
    </row>
    <row r="196" spans="1:20" s="56" customFormat="1" ht="12" x14ac:dyDescent="0.2">
      <c r="A196" s="73" t="s">
        <v>370</v>
      </c>
      <c r="B196" s="73" t="s">
        <v>371</v>
      </c>
      <c r="C196" s="74" t="s">
        <v>372</v>
      </c>
      <c r="D196" s="73" t="s">
        <v>81</v>
      </c>
      <c r="E196" s="75">
        <v>87</v>
      </c>
      <c r="F196" s="75">
        <f>ROUND(T196*$T$10,2)</f>
        <v>47.11</v>
      </c>
      <c r="G196" s="75">
        <f>ROUND(F196*(1+$U$1),2)</f>
        <v>60.11</v>
      </c>
      <c r="H196" s="76">
        <f>ROUND(E196*G196,2)</f>
        <v>5229.57</v>
      </c>
      <c r="I196" s="75"/>
      <c r="J196" s="75"/>
      <c r="K196" s="75">
        <f>E196-I196</f>
        <v>87</v>
      </c>
      <c r="L196" s="76">
        <f>ROUND(E196*F196,2)</f>
        <v>4098.57</v>
      </c>
      <c r="M196" s="76">
        <f>I196*G196</f>
        <v>0</v>
      </c>
      <c r="N196" s="76">
        <f>J196*G196</f>
        <v>0</v>
      </c>
      <c r="O196" s="76">
        <f>H196-N196</f>
        <v>5229.57</v>
      </c>
      <c r="P196" s="76"/>
      <c r="Q196" s="51"/>
      <c r="T196" s="53">
        <v>47.11</v>
      </c>
    </row>
    <row r="197" spans="1:20" s="56" customFormat="1" ht="12" x14ac:dyDescent="0.2">
      <c r="A197" s="72"/>
      <c r="B197" s="81">
        <v>41641</v>
      </c>
      <c r="C197" s="71" t="s">
        <v>373</v>
      </c>
      <c r="D197" s="72"/>
      <c r="E197" s="72"/>
      <c r="F197" s="75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52"/>
      <c r="T197" s="52"/>
    </row>
    <row r="198" spans="1:20" s="56" customFormat="1" ht="24" x14ac:dyDescent="0.2">
      <c r="A198" s="94">
        <v>89383</v>
      </c>
      <c r="B198" s="73" t="s">
        <v>374</v>
      </c>
      <c r="C198" s="74" t="s">
        <v>375</v>
      </c>
      <c r="D198" s="73" t="s">
        <v>102</v>
      </c>
      <c r="E198" s="75">
        <v>125</v>
      </c>
      <c r="F198" s="75">
        <f t="shared" ref="F198:F205" si="50">ROUND(T198*$T$10,2)</f>
        <v>5.09</v>
      </c>
      <c r="G198" s="75">
        <f t="shared" ref="G198:G205" si="51">ROUND(F198*(1+$U$1),2)</f>
        <v>6.49</v>
      </c>
      <c r="H198" s="76">
        <f t="shared" ref="H198:H205" si="52">ROUND(E198*G198,2)</f>
        <v>811.25</v>
      </c>
      <c r="I198" s="75"/>
      <c r="J198" s="75"/>
      <c r="K198" s="75">
        <f t="shared" ref="K198:K205" si="53">E198-I198</f>
        <v>125</v>
      </c>
      <c r="L198" s="76">
        <f t="shared" ref="L198:L205" si="54">ROUND(E198*F198,2)</f>
        <v>636.25</v>
      </c>
      <c r="M198" s="76">
        <f t="shared" ref="M198:M205" si="55">I198*G198</f>
        <v>0</v>
      </c>
      <c r="N198" s="76">
        <f t="shared" ref="N198:N205" si="56">J198*G198</f>
        <v>0</v>
      </c>
      <c r="O198" s="76">
        <f t="shared" ref="O198:O205" si="57">H198-N198</f>
        <v>811.25</v>
      </c>
      <c r="P198" s="76"/>
      <c r="Q198" s="51"/>
      <c r="T198" s="53">
        <v>5.09</v>
      </c>
    </row>
    <row r="199" spans="1:20" s="56" customFormat="1" ht="24" x14ac:dyDescent="0.2">
      <c r="A199" s="94">
        <v>89391</v>
      </c>
      <c r="B199" s="73" t="s">
        <v>376</v>
      </c>
      <c r="C199" s="74" t="s">
        <v>377</v>
      </c>
      <c r="D199" s="73" t="s">
        <v>102</v>
      </c>
      <c r="E199" s="75">
        <v>30</v>
      </c>
      <c r="F199" s="75">
        <f t="shared" si="50"/>
        <v>6.77</v>
      </c>
      <c r="G199" s="75">
        <f t="shared" si="51"/>
        <v>8.64</v>
      </c>
      <c r="H199" s="76">
        <f t="shared" si="52"/>
        <v>259.2</v>
      </c>
      <c r="I199" s="75"/>
      <c r="J199" s="75"/>
      <c r="K199" s="75">
        <f t="shared" si="53"/>
        <v>30</v>
      </c>
      <c r="L199" s="76">
        <f t="shared" si="54"/>
        <v>203.1</v>
      </c>
      <c r="M199" s="76">
        <f t="shared" si="55"/>
        <v>0</v>
      </c>
      <c r="N199" s="76">
        <f t="shared" si="56"/>
        <v>0</v>
      </c>
      <c r="O199" s="76">
        <f t="shared" si="57"/>
        <v>259.2</v>
      </c>
      <c r="P199" s="76"/>
      <c r="Q199" s="51"/>
      <c r="T199" s="53">
        <v>6.77</v>
      </c>
    </row>
    <row r="200" spans="1:20" s="56" customFormat="1" ht="24" x14ac:dyDescent="0.2">
      <c r="A200" s="94">
        <v>89595</v>
      </c>
      <c r="B200" s="73" t="s">
        <v>378</v>
      </c>
      <c r="C200" s="74" t="s">
        <v>379</v>
      </c>
      <c r="D200" s="73" t="s">
        <v>102</v>
      </c>
      <c r="E200" s="75">
        <v>30</v>
      </c>
      <c r="F200" s="75">
        <f t="shared" si="50"/>
        <v>10.76</v>
      </c>
      <c r="G200" s="75">
        <f t="shared" si="51"/>
        <v>13.73</v>
      </c>
      <c r="H200" s="76">
        <f t="shared" si="52"/>
        <v>411.9</v>
      </c>
      <c r="I200" s="75"/>
      <c r="J200" s="75"/>
      <c r="K200" s="75">
        <f t="shared" si="53"/>
        <v>30</v>
      </c>
      <c r="L200" s="76">
        <f t="shared" si="54"/>
        <v>322.8</v>
      </c>
      <c r="M200" s="76">
        <f t="shared" si="55"/>
        <v>0</v>
      </c>
      <c r="N200" s="76">
        <f t="shared" si="56"/>
        <v>0</v>
      </c>
      <c r="O200" s="76">
        <f t="shared" si="57"/>
        <v>411.9</v>
      </c>
      <c r="P200" s="76"/>
      <c r="Q200" s="51"/>
      <c r="T200" s="53">
        <v>10.76</v>
      </c>
    </row>
    <row r="201" spans="1:20" s="56" customFormat="1" ht="24" x14ac:dyDescent="0.2">
      <c r="A201" s="94">
        <v>94668</v>
      </c>
      <c r="B201" s="73" t="s">
        <v>380</v>
      </c>
      <c r="C201" s="74" t="s">
        <v>381</v>
      </c>
      <c r="D201" s="73" t="s">
        <v>102</v>
      </c>
      <c r="E201" s="75">
        <v>11</v>
      </c>
      <c r="F201" s="75">
        <f t="shared" si="50"/>
        <v>42.01</v>
      </c>
      <c r="G201" s="75">
        <f t="shared" si="51"/>
        <v>53.6</v>
      </c>
      <c r="H201" s="76">
        <f t="shared" si="52"/>
        <v>589.6</v>
      </c>
      <c r="I201" s="75"/>
      <c r="J201" s="75"/>
      <c r="K201" s="75">
        <f t="shared" si="53"/>
        <v>11</v>
      </c>
      <c r="L201" s="76">
        <f t="shared" si="54"/>
        <v>462.11</v>
      </c>
      <c r="M201" s="76">
        <f t="shared" si="55"/>
        <v>0</v>
      </c>
      <c r="N201" s="76">
        <f t="shared" si="56"/>
        <v>0</v>
      </c>
      <c r="O201" s="76">
        <f t="shared" si="57"/>
        <v>589.6</v>
      </c>
      <c r="P201" s="76"/>
      <c r="Q201" s="51"/>
      <c r="T201" s="53">
        <v>42.01</v>
      </c>
    </row>
    <row r="202" spans="1:20" s="56" customFormat="1" ht="12" x14ac:dyDescent="0.2">
      <c r="A202" s="94">
        <v>94708</v>
      </c>
      <c r="B202" s="73" t="s">
        <v>382</v>
      </c>
      <c r="C202" s="74" t="s">
        <v>383</v>
      </c>
      <c r="D202" s="73" t="s">
        <v>102</v>
      </c>
      <c r="E202" s="75">
        <v>1</v>
      </c>
      <c r="F202" s="75">
        <f t="shared" si="50"/>
        <v>19.79</v>
      </c>
      <c r="G202" s="75">
        <f t="shared" si="51"/>
        <v>25.25</v>
      </c>
      <c r="H202" s="76">
        <f t="shared" si="52"/>
        <v>25.25</v>
      </c>
      <c r="I202" s="75"/>
      <c r="J202" s="75"/>
      <c r="K202" s="75">
        <f t="shared" si="53"/>
        <v>1</v>
      </c>
      <c r="L202" s="76">
        <f t="shared" si="54"/>
        <v>19.79</v>
      </c>
      <c r="M202" s="76">
        <f t="shared" si="55"/>
        <v>0</v>
      </c>
      <c r="N202" s="76">
        <f t="shared" si="56"/>
        <v>0</v>
      </c>
      <c r="O202" s="76">
        <f t="shared" si="57"/>
        <v>25.25</v>
      </c>
      <c r="P202" s="76"/>
      <c r="Q202" s="51"/>
      <c r="T202" s="53">
        <v>19.79</v>
      </c>
    </row>
    <row r="203" spans="1:20" s="56" customFormat="1" ht="12" x14ac:dyDescent="0.2">
      <c r="A203" s="94">
        <v>94709</v>
      </c>
      <c r="B203" s="73" t="s">
        <v>384</v>
      </c>
      <c r="C203" s="74" t="s">
        <v>385</v>
      </c>
      <c r="D203" s="73" t="s">
        <v>102</v>
      </c>
      <c r="E203" s="75">
        <v>1</v>
      </c>
      <c r="F203" s="75">
        <f t="shared" si="50"/>
        <v>23.32</v>
      </c>
      <c r="G203" s="75">
        <f t="shared" si="51"/>
        <v>29.75</v>
      </c>
      <c r="H203" s="76">
        <f t="shared" si="52"/>
        <v>29.75</v>
      </c>
      <c r="I203" s="75"/>
      <c r="J203" s="75"/>
      <c r="K203" s="75">
        <f t="shared" si="53"/>
        <v>1</v>
      </c>
      <c r="L203" s="76">
        <f t="shared" si="54"/>
        <v>23.32</v>
      </c>
      <c r="M203" s="76">
        <f t="shared" si="55"/>
        <v>0</v>
      </c>
      <c r="N203" s="76">
        <f t="shared" si="56"/>
        <v>0</v>
      </c>
      <c r="O203" s="76">
        <f t="shared" si="57"/>
        <v>29.75</v>
      </c>
      <c r="P203" s="76"/>
      <c r="Q203" s="51"/>
      <c r="T203" s="53">
        <v>23.32</v>
      </c>
    </row>
    <row r="204" spans="1:20" s="56" customFormat="1" ht="12" x14ac:dyDescent="0.2">
      <c r="A204" s="94">
        <v>94711</v>
      </c>
      <c r="B204" s="73" t="s">
        <v>386</v>
      </c>
      <c r="C204" s="74" t="s">
        <v>387</v>
      </c>
      <c r="D204" s="73" t="s">
        <v>102</v>
      </c>
      <c r="E204" s="75">
        <v>5</v>
      </c>
      <c r="F204" s="75">
        <f t="shared" si="50"/>
        <v>40.08</v>
      </c>
      <c r="G204" s="75">
        <f t="shared" si="51"/>
        <v>51.14</v>
      </c>
      <c r="H204" s="76">
        <f t="shared" si="52"/>
        <v>255.7</v>
      </c>
      <c r="I204" s="75"/>
      <c r="J204" s="75"/>
      <c r="K204" s="75">
        <f t="shared" si="53"/>
        <v>5</v>
      </c>
      <c r="L204" s="76">
        <f t="shared" si="54"/>
        <v>200.4</v>
      </c>
      <c r="M204" s="76">
        <f t="shared" si="55"/>
        <v>0</v>
      </c>
      <c r="N204" s="76">
        <f t="shared" si="56"/>
        <v>0</v>
      </c>
      <c r="O204" s="76">
        <f t="shared" si="57"/>
        <v>255.7</v>
      </c>
      <c r="P204" s="76"/>
      <c r="Q204" s="51"/>
      <c r="T204" s="53">
        <v>40.08</v>
      </c>
    </row>
    <row r="205" spans="1:20" s="56" customFormat="1" ht="12" x14ac:dyDescent="0.2">
      <c r="A205" s="94">
        <v>94714</v>
      </c>
      <c r="B205" s="73" t="s">
        <v>388</v>
      </c>
      <c r="C205" s="74" t="s">
        <v>389</v>
      </c>
      <c r="D205" s="73" t="s">
        <v>102</v>
      </c>
      <c r="E205" s="75">
        <v>1</v>
      </c>
      <c r="F205" s="75">
        <f t="shared" si="50"/>
        <v>199.75</v>
      </c>
      <c r="G205" s="75">
        <f t="shared" si="51"/>
        <v>254.86</v>
      </c>
      <c r="H205" s="76">
        <f t="shared" si="52"/>
        <v>254.86</v>
      </c>
      <c r="I205" s="75"/>
      <c r="J205" s="75"/>
      <c r="K205" s="75">
        <f t="shared" si="53"/>
        <v>1</v>
      </c>
      <c r="L205" s="76">
        <f t="shared" si="54"/>
        <v>199.75</v>
      </c>
      <c r="M205" s="76">
        <f t="shared" si="55"/>
        <v>0</v>
      </c>
      <c r="N205" s="76">
        <f t="shared" si="56"/>
        <v>0</v>
      </c>
      <c r="O205" s="76">
        <f t="shared" si="57"/>
        <v>254.86</v>
      </c>
      <c r="P205" s="76"/>
      <c r="Q205" s="51"/>
      <c r="T205" s="53">
        <v>199.75</v>
      </c>
    </row>
    <row r="206" spans="1:20" s="56" customFormat="1" ht="12" x14ac:dyDescent="0.2">
      <c r="A206" s="72"/>
      <c r="B206" s="81">
        <v>41642</v>
      </c>
      <c r="C206" s="71" t="s">
        <v>390</v>
      </c>
      <c r="D206" s="72"/>
      <c r="E206" s="72"/>
      <c r="F206" s="75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52"/>
      <c r="T206" s="52"/>
    </row>
    <row r="207" spans="1:20" s="56" customFormat="1" ht="12" x14ac:dyDescent="0.2">
      <c r="A207" s="73" t="s">
        <v>391</v>
      </c>
      <c r="B207" s="73" t="s">
        <v>392</v>
      </c>
      <c r="C207" s="74" t="s">
        <v>393</v>
      </c>
      <c r="D207" s="73" t="s">
        <v>102</v>
      </c>
      <c r="E207" s="75">
        <v>13</v>
      </c>
      <c r="F207" s="75">
        <f t="shared" ref="F207:F213" si="58">ROUND(T207*$T$10,2)</f>
        <v>3.37</v>
      </c>
      <c r="G207" s="75">
        <f t="shared" ref="G207:G213" si="59">ROUND(F207*(1+$U$1),2)</f>
        <v>4.3</v>
      </c>
      <c r="H207" s="76">
        <f t="shared" ref="H207:H213" si="60">ROUND(E207*G207,2)</f>
        <v>55.9</v>
      </c>
      <c r="I207" s="75"/>
      <c r="J207" s="75"/>
      <c r="K207" s="75">
        <f t="shared" ref="K207:K213" si="61">E207-I207</f>
        <v>13</v>
      </c>
      <c r="L207" s="76">
        <f t="shared" ref="L207:L213" si="62">ROUND(E207*F207,2)</f>
        <v>43.81</v>
      </c>
      <c r="M207" s="76">
        <f t="shared" ref="M207:M253" si="63">I207*G207</f>
        <v>0</v>
      </c>
      <c r="N207" s="76">
        <f t="shared" ref="N207:N253" si="64">J207*G207</f>
        <v>0</v>
      </c>
      <c r="O207" s="76">
        <f t="shared" ref="O207:O253" si="65">H207-N207</f>
        <v>55.9</v>
      </c>
      <c r="P207" s="76"/>
      <c r="Q207" s="51"/>
      <c r="T207" s="53">
        <v>3.37</v>
      </c>
    </row>
    <row r="208" spans="1:20" s="56" customFormat="1" ht="12" x14ac:dyDescent="0.2">
      <c r="A208" s="73" t="s">
        <v>394</v>
      </c>
      <c r="B208" s="73" t="s">
        <v>395</v>
      </c>
      <c r="C208" s="74" t="s">
        <v>396</v>
      </c>
      <c r="D208" s="73" t="s">
        <v>102</v>
      </c>
      <c r="E208" s="75">
        <v>4</v>
      </c>
      <c r="F208" s="75">
        <f t="shared" si="58"/>
        <v>10.220000000000001</v>
      </c>
      <c r="G208" s="75">
        <f t="shared" si="59"/>
        <v>13.04</v>
      </c>
      <c r="H208" s="76">
        <f t="shared" si="60"/>
        <v>52.16</v>
      </c>
      <c r="I208" s="75"/>
      <c r="J208" s="75"/>
      <c r="K208" s="75">
        <f t="shared" si="61"/>
        <v>4</v>
      </c>
      <c r="L208" s="76">
        <f t="shared" si="62"/>
        <v>40.880000000000003</v>
      </c>
      <c r="M208" s="76">
        <f t="shared" si="63"/>
        <v>0</v>
      </c>
      <c r="N208" s="76">
        <f t="shared" si="64"/>
        <v>0</v>
      </c>
      <c r="O208" s="76">
        <f t="shared" si="65"/>
        <v>52.16</v>
      </c>
      <c r="P208" s="76"/>
      <c r="Q208" s="51"/>
      <c r="T208" s="53">
        <v>10.220000000000001</v>
      </c>
    </row>
    <row r="209" spans="1:20" s="56" customFormat="1" ht="12" x14ac:dyDescent="0.2">
      <c r="A209" s="73" t="s">
        <v>397</v>
      </c>
      <c r="B209" s="73" t="s">
        <v>398</v>
      </c>
      <c r="C209" s="74" t="s">
        <v>399</v>
      </c>
      <c r="D209" s="73" t="s">
        <v>102</v>
      </c>
      <c r="E209" s="75">
        <v>2</v>
      </c>
      <c r="F209" s="75">
        <f t="shared" si="58"/>
        <v>10.91</v>
      </c>
      <c r="G209" s="75">
        <f t="shared" si="59"/>
        <v>13.92</v>
      </c>
      <c r="H209" s="76">
        <f t="shared" si="60"/>
        <v>27.84</v>
      </c>
      <c r="I209" s="75"/>
      <c r="J209" s="75"/>
      <c r="K209" s="75">
        <f t="shared" si="61"/>
        <v>2</v>
      </c>
      <c r="L209" s="76">
        <f t="shared" si="62"/>
        <v>21.82</v>
      </c>
      <c r="M209" s="76">
        <f t="shared" si="63"/>
        <v>0</v>
      </c>
      <c r="N209" s="76">
        <f t="shared" si="64"/>
        <v>0</v>
      </c>
      <c r="O209" s="76">
        <f t="shared" si="65"/>
        <v>27.84</v>
      </c>
      <c r="P209" s="76"/>
      <c r="Q209" s="51"/>
      <c r="T209" s="53">
        <v>10.91</v>
      </c>
    </row>
    <row r="210" spans="1:20" s="56" customFormat="1" ht="12" x14ac:dyDescent="0.2">
      <c r="A210" s="73" t="s">
        <v>400</v>
      </c>
      <c r="B210" s="73" t="s">
        <v>401</v>
      </c>
      <c r="C210" s="74" t="s">
        <v>402</v>
      </c>
      <c r="D210" s="73" t="s">
        <v>102</v>
      </c>
      <c r="E210" s="75">
        <v>5</v>
      </c>
      <c r="F210" s="75">
        <f t="shared" si="58"/>
        <v>13.18</v>
      </c>
      <c r="G210" s="75">
        <f t="shared" si="59"/>
        <v>16.82</v>
      </c>
      <c r="H210" s="76">
        <f t="shared" si="60"/>
        <v>84.1</v>
      </c>
      <c r="I210" s="75"/>
      <c r="J210" s="75"/>
      <c r="K210" s="75">
        <f t="shared" si="61"/>
        <v>5</v>
      </c>
      <c r="L210" s="76">
        <f t="shared" si="62"/>
        <v>65.900000000000006</v>
      </c>
      <c r="M210" s="76">
        <f t="shared" si="63"/>
        <v>0</v>
      </c>
      <c r="N210" s="76">
        <f t="shared" si="64"/>
        <v>0</v>
      </c>
      <c r="O210" s="76">
        <f t="shared" si="65"/>
        <v>84.1</v>
      </c>
      <c r="P210" s="76"/>
      <c r="Q210" s="51"/>
      <c r="T210" s="53">
        <v>13.18</v>
      </c>
    </row>
    <row r="211" spans="1:20" s="56" customFormat="1" ht="12" x14ac:dyDescent="0.2">
      <c r="A211" s="73" t="s">
        <v>403</v>
      </c>
      <c r="B211" s="73" t="s">
        <v>404</v>
      </c>
      <c r="C211" s="74" t="s">
        <v>405</v>
      </c>
      <c r="D211" s="73" t="s">
        <v>102</v>
      </c>
      <c r="E211" s="75">
        <v>11</v>
      </c>
      <c r="F211" s="75">
        <f t="shared" si="58"/>
        <v>12.73</v>
      </c>
      <c r="G211" s="75">
        <f t="shared" si="59"/>
        <v>16.239999999999998</v>
      </c>
      <c r="H211" s="76">
        <f t="shared" si="60"/>
        <v>178.64</v>
      </c>
      <c r="I211" s="75"/>
      <c r="J211" s="75"/>
      <c r="K211" s="75">
        <f t="shared" si="61"/>
        <v>11</v>
      </c>
      <c r="L211" s="76">
        <f t="shared" si="62"/>
        <v>140.03</v>
      </c>
      <c r="M211" s="76">
        <f t="shared" si="63"/>
        <v>0</v>
      </c>
      <c r="N211" s="76">
        <f t="shared" si="64"/>
        <v>0</v>
      </c>
      <c r="O211" s="76">
        <f t="shared" si="65"/>
        <v>178.64</v>
      </c>
      <c r="P211" s="76"/>
      <c r="Q211" s="51"/>
      <c r="T211" s="53">
        <v>12.73</v>
      </c>
    </row>
    <row r="212" spans="1:20" s="56" customFormat="1" ht="12" x14ac:dyDescent="0.2">
      <c r="A212" s="73" t="s">
        <v>406</v>
      </c>
      <c r="B212" s="73" t="s">
        <v>407</v>
      </c>
      <c r="C212" s="74" t="s">
        <v>408</v>
      </c>
      <c r="D212" s="73" t="s">
        <v>102</v>
      </c>
      <c r="E212" s="75">
        <v>12</v>
      </c>
      <c r="F212" s="75">
        <f t="shared" si="58"/>
        <v>8.5299999999999994</v>
      </c>
      <c r="G212" s="75">
        <f t="shared" si="59"/>
        <v>10.88</v>
      </c>
      <c r="H212" s="76">
        <f t="shared" si="60"/>
        <v>130.56</v>
      </c>
      <c r="I212" s="75"/>
      <c r="J212" s="75"/>
      <c r="K212" s="75">
        <f t="shared" si="61"/>
        <v>12</v>
      </c>
      <c r="L212" s="76">
        <f t="shared" si="62"/>
        <v>102.36</v>
      </c>
      <c r="M212" s="76">
        <f t="shared" si="63"/>
        <v>0</v>
      </c>
      <c r="N212" s="76">
        <f t="shared" si="64"/>
        <v>0</v>
      </c>
      <c r="O212" s="76">
        <f t="shared" si="65"/>
        <v>130.56</v>
      </c>
      <c r="P212" s="76"/>
      <c r="Q212" s="51"/>
      <c r="T212" s="53">
        <v>8.5299999999999994</v>
      </c>
    </row>
    <row r="213" spans="1:20" s="56" customFormat="1" ht="12" x14ac:dyDescent="0.2">
      <c r="A213" s="73" t="s">
        <v>409</v>
      </c>
      <c r="B213" s="73" t="s">
        <v>410</v>
      </c>
      <c r="C213" s="74" t="s">
        <v>411</v>
      </c>
      <c r="D213" s="73" t="s">
        <v>102</v>
      </c>
      <c r="E213" s="75">
        <v>6</v>
      </c>
      <c r="F213" s="75">
        <f t="shared" si="58"/>
        <v>22.59</v>
      </c>
      <c r="G213" s="75">
        <f t="shared" si="59"/>
        <v>28.82</v>
      </c>
      <c r="H213" s="76">
        <f t="shared" si="60"/>
        <v>172.92</v>
      </c>
      <c r="I213" s="75"/>
      <c r="J213" s="75"/>
      <c r="K213" s="75">
        <f t="shared" si="61"/>
        <v>6</v>
      </c>
      <c r="L213" s="76">
        <f t="shared" si="62"/>
        <v>135.54</v>
      </c>
      <c r="M213" s="76">
        <f t="shared" si="63"/>
        <v>0</v>
      </c>
      <c r="N213" s="76">
        <f t="shared" si="64"/>
        <v>0</v>
      </c>
      <c r="O213" s="76">
        <f t="shared" si="65"/>
        <v>172.92</v>
      </c>
      <c r="P213" s="76"/>
      <c r="Q213" s="51"/>
      <c r="T213" s="53">
        <v>22.59</v>
      </c>
    </row>
    <row r="214" spans="1:20" s="56" customFormat="1" ht="12" x14ac:dyDescent="0.2">
      <c r="A214" s="72"/>
      <c r="B214" s="81">
        <v>41643</v>
      </c>
      <c r="C214" s="71" t="s">
        <v>412</v>
      </c>
      <c r="D214" s="72"/>
      <c r="E214" s="72"/>
      <c r="F214" s="75"/>
      <c r="G214" s="72"/>
      <c r="H214" s="72"/>
      <c r="I214" s="72"/>
      <c r="J214" s="72"/>
      <c r="K214" s="72"/>
      <c r="L214" s="72"/>
      <c r="M214" s="76">
        <f t="shared" si="63"/>
        <v>0</v>
      </c>
      <c r="N214" s="76">
        <f t="shared" si="64"/>
        <v>0</v>
      </c>
      <c r="O214" s="76">
        <f t="shared" si="65"/>
        <v>0</v>
      </c>
      <c r="P214" s="72"/>
      <c r="Q214" s="52"/>
      <c r="T214" s="52"/>
    </row>
    <row r="215" spans="1:20" s="56" customFormat="1" ht="12" x14ac:dyDescent="0.2">
      <c r="A215" s="94">
        <v>89408</v>
      </c>
      <c r="B215" s="73" t="s">
        <v>413</v>
      </c>
      <c r="C215" s="74" t="s">
        <v>414</v>
      </c>
      <c r="D215" s="73" t="s">
        <v>102</v>
      </c>
      <c r="E215" s="75">
        <v>91</v>
      </c>
      <c r="F215" s="75">
        <f t="shared" ref="F215:F225" si="66">ROUND(T215*$T$10,2)</f>
        <v>4.09</v>
      </c>
      <c r="G215" s="75">
        <f t="shared" ref="G215:G225" si="67">ROUND(F215*(1+$U$1),2)</f>
        <v>5.22</v>
      </c>
      <c r="H215" s="76">
        <f t="shared" ref="H215:H225" si="68">ROUND(E215*G215,2)</f>
        <v>475.02</v>
      </c>
      <c r="I215" s="75"/>
      <c r="J215" s="75"/>
      <c r="K215" s="75">
        <f t="shared" ref="K215:K225" si="69">E215-I215</f>
        <v>91</v>
      </c>
      <c r="L215" s="76">
        <f t="shared" ref="L215:L225" si="70">ROUND(E215*F215,2)</f>
        <v>372.19</v>
      </c>
      <c r="M215" s="76">
        <f t="shared" si="63"/>
        <v>0</v>
      </c>
      <c r="N215" s="76">
        <f t="shared" si="64"/>
        <v>0</v>
      </c>
      <c r="O215" s="76">
        <f t="shared" si="65"/>
        <v>475.02</v>
      </c>
      <c r="P215" s="76"/>
      <c r="Q215" s="51"/>
      <c r="T215" s="53">
        <v>4.09</v>
      </c>
    </row>
    <row r="216" spans="1:20" s="56" customFormat="1" ht="12" x14ac:dyDescent="0.2">
      <c r="A216" s="94">
        <v>89413</v>
      </c>
      <c r="B216" s="73" t="s">
        <v>415</v>
      </c>
      <c r="C216" s="74" t="s">
        <v>416</v>
      </c>
      <c r="D216" s="73" t="s">
        <v>102</v>
      </c>
      <c r="E216" s="75">
        <v>28</v>
      </c>
      <c r="F216" s="75">
        <f t="shared" si="66"/>
        <v>5.71</v>
      </c>
      <c r="G216" s="75">
        <f t="shared" si="67"/>
        <v>7.29</v>
      </c>
      <c r="H216" s="76">
        <f t="shared" si="68"/>
        <v>204.12</v>
      </c>
      <c r="I216" s="75"/>
      <c r="J216" s="75"/>
      <c r="K216" s="75">
        <f t="shared" si="69"/>
        <v>28</v>
      </c>
      <c r="L216" s="76">
        <f t="shared" si="70"/>
        <v>159.88</v>
      </c>
      <c r="M216" s="76">
        <f t="shared" si="63"/>
        <v>0</v>
      </c>
      <c r="N216" s="76">
        <f t="shared" si="64"/>
        <v>0</v>
      </c>
      <c r="O216" s="76">
        <f t="shared" si="65"/>
        <v>204.12</v>
      </c>
      <c r="P216" s="76"/>
      <c r="Q216" s="51"/>
      <c r="T216" s="53">
        <v>5.71</v>
      </c>
    </row>
    <row r="217" spans="1:20" s="56" customFormat="1" ht="12" x14ac:dyDescent="0.2">
      <c r="A217" s="94">
        <v>89501</v>
      </c>
      <c r="B217" s="73" t="s">
        <v>417</v>
      </c>
      <c r="C217" s="74" t="s">
        <v>418</v>
      </c>
      <c r="D217" s="73" t="s">
        <v>102</v>
      </c>
      <c r="E217" s="75">
        <v>20</v>
      </c>
      <c r="F217" s="75">
        <f t="shared" si="66"/>
        <v>8.99</v>
      </c>
      <c r="G217" s="75">
        <f t="shared" si="67"/>
        <v>11.47</v>
      </c>
      <c r="H217" s="76">
        <f t="shared" si="68"/>
        <v>229.4</v>
      </c>
      <c r="I217" s="75"/>
      <c r="J217" s="75"/>
      <c r="K217" s="75">
        <f t="shared" si="69"/>
        <v>20</v>
      </c>
      <c r="L217" s="76">
        <f t="shared" si="70"/>
        <v>179.8</v>
      </c>
      <c r="M217" s="76">
        <f t="shared" si="63"/>
        <v>0</v>
      </c>
      <c r="N217" s="76">
        <f t="shared" si="64"/>
        <v>0</v>
      </c>
      <c r="O217" s="76">
        <f t="shared" si="65"/>
        <v>229.4</v>
      </c>
      <c r="P217" s="76"/>
      <c r="Q217" s="51"/>
      <c r="T217" s="53">
        <v>8.99</v>
      </c>
    </row>
    <row r="218" spans="1:20" s="56" customFormat="1" ht="12" x14ac:dyDescent="0.2">
      <c r="A218" s="94">
        <v>89505</v>
      </c>
      <c r="B218" s="73" t="s">
        <v>419</v>
      </c>
      <c r="C218" s="74" t="s">
        <v>420</v>
      </c>
      <c r="D218" s="73" t="s">
        <v>102</v>
      </c>
      <c r="E218" s="75">
        <v>10</v>
      </c>
      <c r="F218" s="75">
        <f t="shared" si="66"/>
        <v>23.78</v>
      </c>
      <c r="G218" s="75">
        <f t="shared" si="67"/>
        <v>30.34</v>
      </c>
      <c r="H218" s="76">
        <f t="shared" si="68"/>
        <v>303.39999999999998</v>
      </c>
      <c r="I218" s="75"/>
      <c r="J218" s="75"/>
      <c r="K218" s="75">
        <f t="shared" si="69"/>
        <v>10</v>
      </c>
      <c r="L218" s="76">
        <f t="shared" si="70"/>
        <v>237.8</v>
      </c>
      <c r="M218" s="76">
        <f t="shared" si="63"/>
        <v>0</v>
      </c>
      <c r="N218" s="76">
        <f t="shared" si="64"/>
        <v>0</v>
      </c>
      <c r="O218" s="76">
        <f t="shared" si="65"/>
        <v>303.39999999999998</v>
      </c>
      <c r="P218" s="76"/>
      <c r="Q218" s="51"/>
      <c r="T218" s="53">
        <v>23.78</v>
      </c>
    </row>
    <row r="219" spans="1:20" s="56" customFormat="1" ht="12" x14ac:dyDescent="0.2">
      <c r="A219" s="94">
        <v>89521</v>
      </c>
      <c r="B219" s="73" t="s">
        <v>421</v>
      </c>
      <c r="C219" s="74" t="s">
        <v>422</v>
      </c>
      <c r="D219" s="73" t="s">
        <v>102</v>
      </c>
      <c r="E219" s="75">
        <v>4</v>
      </c>
      <c r="F219" s="75">
        <f t="shared" si="66"/>
        <v>72.209999999999994</v>
      </c>
      <c r="G219" s="75">
        <f t="shared" si="67"/>
        <v>92.13</v>
      </c>
      <c r="H219" s="76">
        <f t="shared" si="68"/>
        <v>368.52</v>
      </c>
      <c r="I219" s="75"/>
      <c r="J219" s="75"/>
      <c r="K219" s="75">
        <f t="shared" si="69"/>
        <v>4</v>
      </c>
      <c r="L219" s="76">
        <f t="shared" si="70"/>
        <v>288.83999999999997</v>
      </c>
      <c r="M219" s="76">
        <f t="shared" si="63"/>
        <v>0</v>
      </c>
      <c r="N219" s="76">
        <f t="shared" si="64"/>
        <v>0</v>
      </c>
      <c r="O219" s="76">
        <f t="shared" si="65"/>
        <v>368.52</v>
      </c>
      <c r="P219" s="76"/>
      <c r="Q219" s="51"/>
      <c r="T219" s="53">
        <v>72.209999999999994</v>
      </c>
    </row>
    <row r="220" spans="1:20" s="56" customFormat="1" ht="12" x14ac:dyDescent="0.2">
      <c r="A220" s="94">
        <v>89409</v>
      </c>
      <c r="B220" s="73" t="s">
        <v>423</v>
      </c>
      <c r="C220" s="74" t="s">
        <v>424</v>
      </c>
      <c r="D220" s="73" t="s">
        <v>102</v>
      </c>
      <c r="E220" s="75">
        <v>5</v>
      </c>
      <c r="F220" s="75">
        <f t="shared" si="66"/>
        <v>4.51</v>
      </c>
      <c r="G220" s="75">
        <f t="shared" si="67"/>
        <v>5.75</v>
      </c>
      <c r="H220" s="76">
        <f t="shared" si="68"/>
        <v>28.75</v>
      </c>
      <c r="I220" s="75"/>
      <c r="J220" s="75"/>
      <c r="K220" s="75">
        <f t="shared" si="69"/>
        <v>5</v>
      </c>
      <c r="L220" s="76">
        <f t="shared" si="70"/>
        <v>22.55</v>
      </c>
      <c r="M220" s="76">
        <f t="shared" si="63"/>
        <v>0</v>
      </c>
      <c r="N220" s="76">
        <f t="shared" si="64"/>
        <v>0</v>
      </c>
      <c r="O220" s="76">
        <f t="shared" si="65"/>
        <v>28.75</v>
      </c>
      <c r="P220" s="76"/>
      <c r="Q220" s="51"/>
      <c r="T220" s="53">
        <v>4.51</v>
      </c>
    </row>
    <row r="221" spans="1:20" s="56" customFormat="1" ht="12" x14ac:dyDescent="0.2">
      <c r="A221" s="94">
        <v>89414</v>
      </c>
      <c r="B221" s="73" t="s">
        <v>425</v>
      </c>
      <c r="C221" s="74" t="s">
        <v>426</v>
      </c>
      <c r="D221" s="73" t="s">
        <v>102</v>
      </c>
      <c r="E221" s="75">
        <v>3</v>
      </c>
      <c r="F221" s="75">
        <f t="shared" si="66"/>
        <v>6.88</v>
      </c>
      <c r="G221" s="75">
        <f t="shared" si="67"/>
        <v>8.7799999999999994</v>
      </c>
      <c r="H221" s="76">
        <f t="shared" si="68"/>
        <v>26.34</v>
      </c>
      <c r="I221" s="75"/>
      <c r="J221" s="75"/>
      <c r="K221" s="75">
        <f t="shared" si="69"/>
        <v>3</v>
      </c>
      <c r="L221" s="76">
        <f t="shared" si="70"/>
        <v>20.64</v>
      </c>
      <c r="M221" s="76">
        <f t="shared" si="63"/>
        <v>0</v>
      </c>
      <c r="N221" s="76">
        <f t="shared" si="64"/>
        <v>0</v>
      </c>
      <c r="O221" s="76">
        <f t="shared" si="65"/>
        <v>26.34</v>
      </c>
      <c r="P221" s="76"/>
      <c r="Q221" s="51"/>
      <c r="T221" s="53">
        <v>6.88</v>
      </c>
    </row>
    <row r="222" spans="1:20" s="56" customFormat="1" ht="12" x14ac:dyDescent="0.2">
      <c r="A222" s="94">
        <v>89502</v>
      </c>
      <c r="B222" s="73" t="s">
        <v>427</v>
      </c>
      <c r="C222" s="74" t="s">
        <v>428</v>
      </c>
      <c r="D222" s="73" t="s">
        <v>102</v>
      </c>
      <c r="E222" s="75">
        <v>2</v>
      </c>
      <c r="F222" s="75">
        <f t="shared" si="66"/>
        <v>9.86</v>
      </c>
      <c r="G222" s="75">
        <f t="shared" si="67"/>
        <v>12.58</v>
      </c>
      <c r="H222" s="76">
        <f t="shared" si="68"/>
        <v>25.16</v>
      </c>
      <c r="I222" s="75"/>
      <c r="J222" s="75"/>
      <c r="K222" s="75">
        <f t="shared" si="69"/>
        <v>2</v>
      </c>
      <c r="L222" s="76">
        <f t="shared" si="70"/>
        <v>19.72</v>
      </c>
      <c r="M222" s="76">
        <f t="shared" si="63"/>
        <v>0</v>
      </c>
      <c r="N222" s="76">
        <f t="shared" si="64"/>
        <v>0</v>
      </c>
      <c r="O222" s="76">
        <f t="shared" si="65"/>
        <v>25.16</v>
      </c>
      <c r="P222" s="76"/>
      <c r="Q222" s="51"/>
      <c r="T222" s="53">
        <v>9.86</v>
      </c>
    </row>
    <row r="223" spans="1:20" s="56" customFormat="1" ht="24" x14ac:dyDescent="0.2">
      <c r="A223" s="94">
        <v>89366</v>
      </c>
      <c r="B223" s="73" t="s">
        <v>429</v>
      </c>
      <c r="C223" s="74" t="s">
        <v>430</v>
      </c>
      <c r="D223" s="73" t="s">
        <v>102</v>
      </c>
      <c r="E223" s="75">
        <v>12</v>
      </c>
      <c r="F223" s="75">
        <f t="shared" si="66"/>
        <v>10.4</v>
      </c>
      <c r="G223" s="75">
        <f t="shared" si="67"/>
        <v>13.27</v>
      </c>
      <c r="H223" s="76">
        <f t="shared" si="68"/>
        <v>159.24</v>
      </c>
      <c r="I223" s="75"/>
      <c r="J223" s="75"/>
      <c r="K223" s="75">
        <f t="shared" si="69"/>
        <v>12</v>
      </c>
      <c r="L223" s="76">
        <f t="shared" si="70"/>
        <v>124.8</v>
      </c>
      <c r="M223" s="76">
        <f t="shared" si="63"/>
        <v>0</v>
      </c>
      <c r="N223" s="76">
        <f t="shared" si="64"/>
        <v>0</v>
      </c>
      <c r="O223" s="76">
        <f t="shared" si="65"/>
        <v>159.24</v>
      </c>
      <c r="P223" s="76"/>
      <c r="Q223" s="51"/>
      <c r="T223" s="53">
        <v>10.4</v>
      </c>
    </row>
    <row r="224" spans="1:20" s="56" customFormat="1" ht="24" x14ac:dyDescent="0.2">
      <c r="A224" s="94">
        <v>90373</v>
      </c>
      <c r="B224" s="73" t="s">
        <v>431</v>
      </c>
      <c r="C224" s="74" t="s">
        <v>432</v>
      </c>
      <c r="D224" s="73" t="s">
        <v>102</v>
      </c>
      <c r="E224" s="75">
        <v>64</v>
      </c>
      <c r="F224" s="75">
        <f t="shared" si="66"/>
        <v>9.6</v>
      </c>
      <c r="G224" s="75">
        <f t="shared" si="67"/>
        <v>12.25</v>
      </c>
      <c r="H224" s="76">
        <f t="shared" si="68"/>
        <v>784</v>
      </c>
      <c r="I224" s="75"/>
      <c r="J224" s="75"/>
      <c r="K224" s="75">
        <f t="shared" si="69"/>
        <v>64</v>
      </c>
      <c r="L224" s="76">
        <f t="shared" si="70"/>
        <v>614.4</v>
      </c>
      <c r="M224" s="76">
        <f t="shared" si="63"/>
        <v>0</v>
      </c>
      <c r="N224" s="76">
        <f t="shared" si="64"/>
        <v>0</v>
      </c>
      <c r="O224" s="76">
        <f t="shared" si="65"/>
        <v>784</v>
      </c>
      <c r="P224" s="76"/>
      <c r="Q224" s="51"/>
      <c r="T224" s="53">
        <v>9.6</v>
      </c>
    </row>
    <row r="225" spans="1:20" s="56" customFormat="1" ht="12" x14ac:dyDescent="0.2">
      <c r="A225" s="73" t="s">
        <v>433</v>
      </c>
      <c r="B225" s="73" t="s">
        <v>434</v>
      </c>
      <c r="C225" s="74" t="s">
        <v>435</v>
      </c>
      <c r="D225" s="73" t="s">
        <v>102</v>
      </c>
      <c r="E225" s="75">
        <v>13</v>
      </c>
      <c r="F225" s="75">
        <f t="shared" si="66"/>
        <v>7.38</v>
      </c>
      <c r="G225" s="75">
        <f t="shared" si="67"/>
        <v>9.42</v>
      </c>
      <c r="H225" s="76">
        <f t="shared" si="68"/>
        <v>122.46</v>
      </c>
      <c r="I225" s="75"/>
      <c r="J225" s="75"/>
      <c r="K225" s="75">
        <f t="shared" si="69"/>
        <v>13</v>
      </c>
      <c r="L225" s="76">
        <f t="shared" si="70"/>
        <v>95.94</v>
      </c>
      <c r="M225" s="76">
        <f t="shared" si="63"/>
        <v>0</v>
      </c>
      <c r="N225" s="76">
        <f t="shared" si="64"/>
        <v>0</v>
      </c>
      <c r="O225" s="76">
        <f t="shared" si="65"/>
        <v>122.46</v>
      </c>
      <c r="P225" s="76"/>
      <c r="Q225" s="51"/>
      <c r="T225" s="53">
        <v>7.38</v>
      </c>
    </row>
    <row r="226" spans="1:20" s="56" customFormat="1" ht="12" x14ac:dyDescent="0.2">
      <c r="A226" s="72"/>
      <c r="B226" s="81">
        <v>41644</v>
      </c>
      <c r="C226" s="71" t="s">
        <v>436</v>
      </c>
      <c r="D226" s="72"/>
      <c r="E226" s="72"/>
      <c r="F226" s="75"/>
      <c r="G226" s="72"/>
      <c r="H226" s="72"/>
      <c r="I226" s="72"/>
      <c r="J226" s="72"/>
      <c r="K226" s="72"/>
      <c r="L226" s="72"/>
      <c r="M226" s="76">
        <f t="shared" si="63"/>
        <v>0</v>
      </c>
      <c r="N226" s="76">
        <f t="shared" si="64"/>
        <v>0</v>
      </c>
      <c r="O226" s="76">
        <f t="shared" si="65"/>
        <v>0</v>
      </c>
      <c r="P226" s="72"/>
      <c r="Q226" s="52"/>
      <c r="T226" s="52"/>
    </row>
    <row r="227" spans="1:20" s="56" customFormat="1" ht="12" x14ac:dyDescent="0.2">
      <c r="A227" s="94">
        <v>89424</v>
      </c>
      <c r="B227" s="73" t="s">
        <v>437</v>
      </c>
      <c r="C227" s="74" t="s">
        <v>438</v>
      </c>
      <c r="D227" s="73" t="s">
        <v>102</v>
      </c>
      <c r="E227" s="75">
        <v>12</v>
      </c>
      <c r="F227" s="75">
        <f t="shared" ref="F227:F232" si="71">ROUND(T227*$T$10,2)</f>
        <v>3.06</v>
      </c>
      <c r="G227" s="75">
        <f t="shared" ref="G227:G232" si="72">ROUND(F227*(1+$U$1),2)</f>
        <v>3.9</v>
      </c>
      <c r="H227" s="76">
        <f t="shared" ref="H227:H232" si="73">ROUND(E227*G227,2)</f>
        <v>46.8</v>
      </c>
      <c r="I227" s="75"/>
      <c r="J227" s="75"/>
      <c r="K227" s="75">
        <f t="shared" ref="K227:K232" si="74">E227-I227</f>
        <v>12</v>
      </c>
      <c r="L227" s="76">
        <f t="shared" ref="L227:L232" si="75">ROUND(E227*F227,2)</f>
        <v>36.72</v>
      </c>
      <c r="M227" s="76">
        <f t="shared" si="63"/>
        <v>0</v>
      </c>
      <c r="N227" s="76">
        <f t="shared" si="64"/>
        <v>0</v>
      </c>
      <c r="O227" s="76">
        <f t="shared" si="65"/>
        <v>46.8</v>
      </c>
      <c r="P227" s="76"/>
      <c r="Q227" s="51"/>
      <c r="T227" s="53">
        <v>3.06</v>
      </c>
    </row>
    <row r="228" spans="1:20" s="56" customFormat="1" ht="12" x14ac:dyDescent="0.2">
      <c r="A228" s="94">
        <v>89431</v>
      </c>
      <c r="B228" s="73" t="s">
        <v>439</v>
      </c>
      <c r="C228" s="74" t="s">
        <v>440</v>
      </c>
      <c r="D228" s="73" t="s">
        <v>102</v>
      </c>
      <c r="E228" s="75">
        <v>12</v>
      </c>
      <c r="F228" s="75">
        <f t="shared" si="71"/>
        <v>4.18</v>
      </c>
      <c r="G228" s="75">
        <f t="shared" si="72"/>
        <v>5.33</v>
      </c>
      <c r="H228" s="76">
        <f t="shared" si="73"/>
        <v>63.96</v>
      </c>
      <c r="I228" s="75"/>
      <c r="J228" s="75"/>
      <c r="K228" s="75">
        <f t="shared" si="74"/>
        <v>12</v>
      </c>
      <c r="L228" s="76">
        <f t="shared" si="75"/>
        <v>50.16</v>
      </c>
      <c r="M228" s="76">
        <f t="shared" si="63"/>
        <v>0</v>
      </c>
      <c r="N228" s="76">
        <f t="shared" si="64"/>
        <v>0</v>
      </c>
      <c r="O228" s="76">
        <f t="shared" si="65"/>
        <v>63.96</v>
      </c>
      <c r="P228" s="76"/>
      <c r="Q228" s="51"/>
      <c r="T228" s="53">
        <v>4.18</v>
      </c>
    </row>
    <row r="229" spans="1:20" s="56" customFormat="1" ht="12" x14ac:dyDescent="0.2">
      <c r="A229" s="94">
        <v>89575</v>
      </c>
      <c r="B229" s="73" t="s">
        <v>441</v>
      </c>
      <c r="C229" s="74" t="s">
        <v>442</v>
      </c>
      <c r="D229" s="73" t="s">
        <v>102</v>
      </c>
      <c r="E229" s="75">
        <v>7</v>
      </c>
      <c r="F229" s="75">
        <f t="shared" si="71"/>
        <v>6.7</v>
      </c>
      <c r="G229" s="75">
        <f t="shared" si="72"/>
        <v>8.5500000000000007</v>
      </c>
      <c r="H229" s="76">
        <f t="shared" si="73"/>
        <v>59.85</v>
      </c>
      <c r="I229" s="75"/>
      <c r="J229" s="75"/>
      <c r="K229" s="75">
        <f t="shared" si="74"/>
        <v>7</v>
      </c>
      <c r="L229" s="76">
        <f t="shared" si="75"/>
        <v>46.9</v>
      </c>
      <c r="M229" s="76">
        <f t="shared" si="63"/>
        <v>0</v>
      </c>
      <c r="N229" s="76">
        <f t="shared" si="64"/>
        <v>0</v>
      </c>
      <c r="O229" s="76">
        <f t="shared" si="65"/>
        <v>59.85</v>
      </c>
      <c r="P229" s="76"/>
      <c r="Q229" s="51"/>
      <c r="T229" s="53">
        <v>6.7</v>
      </c>
    </row>
    <row r="230" spans="1:20" s="56" customFormat="1" ht="12" x14ac:dyDescent="0.2">
      <c r="A230" s="94">
        <v>89597</v>
      </c>
      <c r="B230" s="73" t="s">
        <v>443</v>
      </c>
      <c r="C230" s="74" t="s">
        <v>444</v>
      </c>
      <c r="D230" s="73" t="s">
        <v>102</v>
      </c>
      <c r="E230" s="75">
        <v>3</v>
      </c>
      <c r="F230" s="75">
        <f t="shared" si="71"/>
        <v>12.3</v>
      </c>
      <c r="G230" s="75">
        <f t="shared" si="72"/>
        <v>15.69</v>
      </c>
      <c r="H230" s="76">
        <f t="shared" si="73"/>
        <v>47.07</v>
      </c>
      <c r="I230" s="75"/>
      <c r="J230" s="75"/>
      <c r="K230" s="75">
        <f t="shared" si="74"/>
        <v>3</v>
      </c>
      <c r="L230" s="76">
        <f t="shared" si="75"/>
        <v>36.9</v>
      </c>
      <c r="M230" s="76">
        <f t="shared" si="63"/>
        <v>0</v>
      </c>
      <c r="N230" s="76">
        <f t="shared" si="64"/>
        <v>0</v>
      </c>
      <c r="O230" s="76">
        <f t="shared" si="65"/>
        <v>47.07</v>
      </c>
      <c r="P230" s="76"/>
      <c r="Q230" s="51"/>
      <c r="T230" s="53">
        <v>12.3</v>
      </c>
    </row>
    <row r="231" spans="1:20" s="56" customFormat="1" ht="12" x14ac:dyDescent="0.2">
      <c r="A231" s="94">
        <v>89614</v>
      </c>
      <c r="B231" s="73" t="s">
        <v>445</v>
      </c>
      <c r="C231" s="74" t="s">
        <v>446</v>
      </c>
      <c r="D231" s="73" t="s">
        <v>102</v>
      </c>
      <c r="E231" s="75">
        <v>7</v>
      </c>
      <c r="F231" s="75">
        <f t="shared" si="71"/>
        <v>33.06</v>
      </c>
      <c r="G231" s="75">
        <f t="shared" si="72"/>
        <v>42.18</v>
      </c>
      <c r="H231" s="76">
        <f t="shared" si="73"/>
        <v>295.26</v>
      </c>
      <c r="I231" s="75"/>
      <c r="J231" s="75"/>
      <c r="K231" s="75">
        <f t="shared" si="74"/>
        <v>7</v>
      </c>
      <c r="L231" s="76">
        <f t="shared" si="75"/>
        <v>231.42</v>
      </c>
      <c r="M231" s="76">
        <f t="shared" si="63"/>
        <v>0</v>
      </c>
      <c r="N231" s="76">
        <f t="shared" si="64"/>
        <v>0</v>
      </c>
      <c r="O231" s="76">
        <f t="shared" si="65"/>
        <v>295.26</v>
      </c>
      <c r="P231" s="76"/>
      <c r="Q231" s="51"/>
      <c r="T231" s="53">
        <v>33.06</v>
      </c>
    </row>
    <row r="232" spans="1:20" s="56" customFormat="1" ht="12" x14ac:dyDescent="0.2">
      <c r="A232" s="73" t="s">
        <v>447</v>
      </c>
      <c r="B232" s="73" t="s">
        <v>448</v>
      </c>
      <c r="C232" s="74" t="s">
        <v>449</v>
      </c>
      <c r="D232" s="73" t="s">
        <v>102</v>
      </c>
      <c r="E232" s="75">
        <v>8</v>
      </c>
      <c r="F232" s="75">
        <f t="shared" si="71"/>
        <v>4.53</v>
      </c>
      <c r="G232" s="75">
        <f t="shared" si="72"/>
        <v>5.78</v>
      </c>
      <c r="H232" s="76">
        <f t="shared" si="73"/>
        <v>46.24</v>
      </c>
      <c r="I232" s="75"/>
      <c r="J232" s="75"/>
      <c r="K232" s="75">
        <f t="shared" si="74"/>
        <v>8</v>
      </c>
      <c r="L232" s="76">
        <f t="shared" si="75"/>
        <v>36.24</v>
      </c>
      <c r="M232" s="76">
        <f t="shared" si="63"/>
        <v>0</v>
      </c>
      <c r="N232" s="76">
        <f t="shared" si="64"/>
        <v>0</v>
      </c>
      <c r="O232" s="76">
        <f t="shared" si="65"/>
        <v>46.24</v>
      </c>
      <c r="P232" s="76"/>
      <c r="Q232" s="51"/>
      <c r="T232" s="53">
        <v>4.53</v>
      </c>
    </row>
    <row r="233" spans="1:20" s="56" customFormat="1" ht="12" x14ac:dyDescent="0.2">
      <c r="A233" s="72"/>
      <c r="B233" s="81">
        <v>41645</v>
      </c>
      <c r="C233" s="71" t="s">
        <v>450</v>
      </c>
      <c r="D233" s="72"/>
      <c r="E233" s="72"/>
      <c r="F233" s="75"/>
      <c r="G233" s="72"/>
      <c r="H233" s="72"/>
      <c r="I233" s="72"/>
      <c r="J233" s="72"/>
      <c r="K233" s="72"/>
      <c r="L233" s="72"/>
      <c r="M233" s="76">
        <f t="shared" si="63"/>
        <v>0</v>
      </c>
      <c r="N233" s="76">
        <f t="shared" si="64"/>
        <v>0</v>
      </c>
      <c r="O233" s="76">
        <f t="shared" si="65"/>
        <v>0</v>
      </c>
      <c r="P233" s="72"/>
      <c r="Q233" s="52"/>
      <c r="T233" s="52"/>
    </row>
    <row r="234" spans="1:20" s="56" customFormat="1" ht="12" x14ac:dyDescent="0.2">
      <c r="A234" s="94">
        <v>89440</v>
      </c>
      <c r="B234" s="73" t="s">
        <v>451</v>
      </c>
      <c r="C234" s="74" t="s">
        <v>452</v>
      </c>
      <c r="D234" s="73" t="s">
        <v>102</v>
      </c>
      <c r="E234" s="75">
        <v>17</v>
      </c>
      <c r="F234" s="75">
        <f t="shared" ref="F234:F244" si="76">ROUND(T234*$T$10,2)</f>
        <v>5.76</v>
      </c>
      <c r="G234" s="75">
        <f t="shared" ref="G234:G244" si="77">ROUND(F234*(1+$U$1),2)</f>
        <v>7.35</v>
      </c>
      <c r="H234" s="76">
        <f t="shared" ref="H234:H244" si="78">ROUND(E234*G234,2)</f>
        <v>124.95</v>
      </c>
      <c r="I234" s="75"/>
      <c r="J234" s="75"/>
      <c r="K234" s="75">
        <f t="shared" ref="K234:K244" si="79">E234-I234</f>
        <v>17</v>
      </c>
      <c r="L234" s="76">
        <f t="shared" ref="L234:L244" si="80">ROUND(E234*F234,2)</f>
        <v>97.92</v>
      </c>
      <c r="M234" s="76">
        <f t="shared" si="63"/>
        <v>0</v>
      </c>
      <c r="N234" s="76">
        <f t="shared" si="64"/>
        <v>0</v>
      </c>
      <c r="O234" s="76">
        <f t="shared" si="65"/>
        <v>124.95</v>
      </c>
      <c r="P234" s="76"/>
      <c r="Q234" s="51"/>
      <c r="T234" s="53">
        <v>5.76</v>
      </c>
    </row>
    <row r="235" spans="1:20" s="56" customFormat="1" ht="12" x14ac:dyDescent="0.2">
      <c r="A235" s="94">
        <v>89443</v>
      </c>
      <c r="B235" s="73" t="s">
        <v>453</v>
      </c>
      <c r="C235" s="74" t="s">
        <v>454</v>
      </c>
      <c r="D235" s="73" t="s">
        <v>102</v>
      </c>
      <c r="E235" s="75">
        <v>13</v>
      </c>
      <c r="F235" s="75">
        <f t="shared" si="76"/>
        <v>8.1999999999999993</v>
      </c>
      <c r="G235" s="75">
        <f t="shared" si="77"/>
        <v>10.46</v>
      </c>
      <c r="H235" s="76">
        <f t="shared" si="78"/>
        <v>135.97999999999999</v>
      </c>
      <c r="I235" s="75"/>
      <c r="J235" s="75"/>
      <c r="K235" s="75">
        <f t="shared" si="79"/>
        <v>13</v>
      </c>
      <c r="L235" s="76">
        <f t="shared" si="80"/>
        <v>106.6</v>
      </c>
      <c r="M235" s="76">
        <f t="shared" si="63"/>
        <v>0</v>
      </c>
      <c r="N235" s="76">
        <f t="shared" si="64"/>
        <v>0</v>
      </c>
      <c r="O235" s="76">
        <f t="shared" si="65"/>
        <v>135.97999999999999</v>
      </c>
      <c r="P235" s="76"/>
      <c r="Q235" s="51"/>
      <c r="T235" s="53">
        <v>8.1999999999999993</v>
      </c>
    </row>
    <row r="236" spans="1:20" s="56" customFormat="1" ht="12" x14ac:dyDescent="0.2">
      <c r="A236" s="94">
        <v>89625</v>
      </c>
      <c r="B236" s="73" t="s">
        <v>455</v>
      </c>
      <c r="C236" s="74" t="s">
        <v>456</v>
      </c>
      <c r="D236" s="73" t="s">
        <v>102</v>
      </c>
      <c r="E236" s="75">
        <v>17</v>
      </c>
      <c r="F236" s="75">
        <f t="shared" si="76"/>
        <v>13.75</v>
      </c>
      <c r="G236" s="75">
        <f t="shared" si="77"/>
        <v>17.54</v>
      </c>
      <c r="H236" s="76">
        <f t="shared" si="78"/>
        <v>298.18</v>
      </c>
      <c r="I236" s="75"/>
      <c r="J236" s="75"/>
      <c r="K236" s="75">
        <f t="shared" si="79"/>
        <v>17</v>
      </c>
      <c r="L236" s="76">
        <f t="shared" si="80"/>
        <v>233.75</v>
      </c>
      <c r="M236" s="76">
        <f t="shared" si="63"/>
        <v>0</v>
      </c>
      <c r="N236" s="76">
        <f t="shared" si="64"/>
        <v>0</v>
      </c>
      <c r="O236" s="76">
        <f t="shared" si="65"/>
        <v>298.18</v>
      </c>
      <c r="P236" s="76"/>
      <c r="Q236" s="51"/>
      <c r="T236" s="53">
        <v>13.75</v>
      </c>
    </row>
    <row r="237" spans="1:20" s="56" customFormat="1" ht="12" x14ac:dyDescent="0.2">
      <c r="A237" s="94">
        <v>89628</v>
      </c>
      <c r="B237" s="73" t="s">
        <v>457</v>
      </c>
      <c r="C237" s="74" t="s">
        <v>458</v>
      </c>
      <c r="D237" s="73" t="s">
        <v>102</v>
      </c>
      <c r="E237" s="75">
        <v>8</v>
      </c>
      <c r="F237" s="75">
        <f t="shared" si="76"/>
        <v>27.72</v>
      </c>
      <c r="G237" s="75">
        <f t="shared" si="77"/>
        <v>35.369999999999997</v>
      </c>
      <c r="H237" s="76">
        <f t="shared" si="78"/>
        <v>282.95999999999998</v>
      </c>
      <c r="I237" s="75"/>
      <c r="J237" s="75"/>
      <c r="K237" s="75">
        <f t="shared" si="79"/>
        <v>8</v>
      </c>
      <c r="L237" s="76">
        <f t="shared" si="80"/>
        <v>221.76</v>
      </c>
      <c r="M237" s="76">
        <f t="shared" si="63"/>
        <v>0</v>
      </c>
      <c r="N237" s="76">
        <f t="shared" si="64"/>
        <v>0</v>
      </c>
      <c r="O237" s="76">
        <f t="shared" si="65"/>
        <v>282.95999999999998</v>
      </c>
      <c r="P237" s="76"/>
      <c r="Q237" s="51"/>
      <c r="T237" s="53">
        <v>27.72</v>
      </c>
    </row>
    <row r="238" spans="1:20" s="56" customFormat="1" ht="12" x14ac:dyDescent="0.2">
      <c r="A238" s="94">
        <v>89631</v>
      </c>
      <c r="B238" s="73" t="s">
        <v>459</v>
      </c>
      <c r="C238" s="74" t="s">
        <v>460</v>
      </c>
      <c r="D238" s="73" t="s">
        <v>102</v>
      </c>
      <c r="E238" s="75">
        <v>6</v>
      </c>
      <c r="F238" s="75">
        <f t="shared" si="76"/>
        <v>71.03</v>
      </c>
      <c r="G238" s="75">
        <f t="shared" si="77"/>
        <v>90.63</v>
      </c>
      <c r="H238" s="76">
        <f t="shared" si="78"/>
        <v>543.78</v>
      </c>
      <c r="I238" s="75"/>
      <c r="J238" s="75"/>
      <c r="K238" s="75">
        <f t="shared" si="79"/>
        <v>6</v>
      </c>
      <c r="L238" s="76">
        <f t="shared" si="80"/>
        <v>426.18</v>
      </c>
      <c r="M238" s="76">
        <f t="shared" si="63"/>
        <v>0</v>
      </c>
      <c r="N238" s="76">
        <f t="shared" si="64"/>
        <v>0</v>
      </c>
      <c r="O238" s="76">
        <f t="shared" si="65"/>
        <v>543.78</v>
      </c>
      <c r="P238" s="76"/>
      <c r="Q238" s="51"/>
      <c r="T238" s="53">
        <v>71.03</v>
      </c>
    </row>
    <row r="239" spans="1:20" s="56" customFormat="1" ht="24" x14ac:dyDescent="0.2">
      <c r="A239" s="73" t="s">
        <v>78</v>
      </c>
      <c r="B239" s="73" t="s">
        <v>461</v>
      </c>
      <c r="C239" s="74" t="s">
        <v>462</v>
      </c>
      <c r="D239" s="73" t="s">
        <v>102</v>
      </c>
      <c r="E239" s="75">
        <v>13</v>
      </c>
      <c r="F239" s="75">
        <f t="shared" si="76"/>
        <v>12.99</v>
      </c>
      <c r="G239" s="75">
        <f t="shared" si="77"/>
        <v>16.57</v>
      </c>
      <c r="H239" s="76">
        <f t="shared" si="78"/>
        <v>215.41</v>
      </c>
      <c r="I239" s="75"/>
      <c r="J239" s="75"/>
      <c r="K239" s="75">
        <f t="shared" si="79"/>
        <v>13</v>
      </c>
      <c r="L239" s="76">
        <f t="shared" si="80"/>
        <v>168.87</v>
      </c>
      <c r="M239" s="76">
        <f t="shared" si="63"/>
        <v>0</v>
      </c>
      <c r="N239" s="76">
        <f t="shared" si="64"/>
        <v>0</v>
      </c>
      <c r="O239" s="76">
        <f t="shared" si="65"/>
        <v>215.41</v>
      </c>
      <c r="P239" s="76"/>
      <c r="Q239" s="51"/>
      <c r="T239" s="53">
        <v>12.99</v>
      </c>
    </row>
    <row r="240" spans="1:20" s="56" customFormat="1" ht="24" x14ac:dyDescent="0.2">
      <c r="A240" s="73" t="s">
        <v>78</v>
      </c>
      <c r="B240" s="73" t="s">
        <v>463</v>
      </c>
      <c r="C240" s="74" t="s">
        <v>464</v>
      </c>
      <c r="D240" s="73" t="s">
        <v>102</v>
      </c>
      <c r="E240" s="75">
        <v>4</v>
      </c>
      <c r="F240" s="75">
        <f t="shared" si="76"/>
        <v>14.25</v>
      </c>
      <c r="G240" s="75">
        <f t="shared" si="77"/>
        <v>18.18</v>
      </c>
      <c r="H240" s="76">
        <f t="shared" si="78"/>
        <v>72.72</v>
      </c>
      <c r="I240" s="75"/>
      <c r="J240" s="75"/>
      <c r="K240" s="75">
        <f t="shared" si="79"/>
        <v>4</v>
      </c>
      <c r="L240" s="76">
        <f t="shared" si="80"/>
        <v>57</v>
      </c>
      <c r="M240" s="76">
        <f t="shared" si="63"/>
        <v>0</v>
      </c>
      <c r="N240" s="76">
        <f t="shared" si="64"/>
        <v>0</v>
      </c>
      <c r="O240" s="76">
        <f t="shared" si="65"/>
        <v>72.72</v>
      </c>
      <c r="P240" s="76"/>
      <c r="Q240" s="51"/>
      <c r="T240" s="53">
        <v>14.25</v>
      </c>
    </row>
    <row r="241" spans="1:20" s="56" customFormat="1" ht="12" x14ac:dyDescent="0.2">
      <c r="A241" s="94">
        <v>89400</v>
      </c>
      <c r="B241" s="73" t="s">
        <v>465</v>
      </c>
      <c r="C241" s="74" t="s">
        <v>466</v>
      </c>
      <c r="D241" s="73" t="s">
        <v>102</v>
      </c>
      <c r="E241" s="75">
        <v>26</v>
      </c>
      <c r="F241" s="75">
        <f t="shared" si="76"/>
        <v>13.19</v>
      </c>
      <c r="G241" s="75">
        <f t="shared" si="77"/>
        <v>16.829999999999998</v>
      </c>
      <c r="H241" s="76">
        <f t="shared" si="78"/>
        <v>437.58</v>
      </c>
      <c r="I241" s="75"/>
      <c r="J241" s="75"/>
      <c r="K241" s="75">
        <f t="shared" si="79"/>
        <v>26</v>
      </c>
      <c r="L241" s="76">
        <f t="shared" si="80"/>
        <v>342.94</v>
      </c>
      <c r="M241" s="76">
        <f t="shared" si="63"/>
        <v>0</v>
      </c>
      <c r="N241" s="76">
        <f t="shared" si="64"/>
        <v>0</v>
      </c>
      <c r="O241" s="76">
        <f t="shared" si="65"/>
        <v>437.58</v>
      </c>
      <c r="P241" s="76"/>
      <c r="Q241" s="51"/>
      <c r="T241" s="53">
        <v>13.19</v>
      </c>
    </row>
    <row r="242" spans="1:20" s="56" customFormat="1" ht="12" x14ac:dyDescent="0.2">
      <c r="A242" s="94">
        <v>89627</v>
      </c>
      <c r="B242" s="73" t="s">
        <v>467</v>
      </c>
      <c r="C242" s="74" t="s">
        <v>468</v>
      </c>
      <c r="D242" s="73" t="s">
        <v>102</v>
      </c>
      <c r="E242" s="75">
        <v>3</v>
      </c>
      <c r="F242" s="75">
        <f t="shared" si="76"/>
        <v>13.53</v>
      </c>
      <c r="G242" s="75">
        <f t="shared" si="77"/>
        <v>17.260000000000002</v>
      </c>
      <c r="H242" s="76">
        <f t="shared" si="78"/>
        <v>51.78</v>
      </c>
      <c r="I242" s="75"/>
      <c r="J242" s="75"/>
      <c r="K242" s="75">
        <f t="shared" si="79"/>
        <v>3</v>
      </c>
      <c r="L242" s="76">
        <f t="shared" si="80"/>
        <v>40.590000000000003</v>
      </c>
      <c r="M242" s="76">
        <f t="shared" si="63"/>
        <v>0</v>
      </c>
      <c r="N242" s="76">
        <f t="shared" si="64"/>
        <v>0</v>
      </c>
      <c r="O242" s="76">
        <f t="shared" si="65"/>
        <v>51.78</v>
      </c>
      <c r="P242" s="76"/>
      <c r="Q242" s="51"/>
      <c r="T242" s="53">
        <v>13.53</v>
      </c>
    </row>
    <row r="243" spans="1:20" s="56" customFormat="1" ht="12" x14ac:dyDescent="0.2">
      <c r="A243" s="73" t="s">
        <v>78</v>
      </c>
      <c r="B243" s="73" t="s">
        <v>469</v>
      </c>
      <c r="C243" s="74" t="s">
        <v>470</v>
      </c>
      <c r="D243" s="73" t="s">
        <v>102</v>
      </c>
      <c r="E243" s="75">
        <v>2</v>
      </c>
      <c r="F243" s="75">
        <f t="shared" si="76"/>
        <v>26.32</v>
      </c>
      <c r="G243" s="75">
        <f t="shared" si="77"/>
        <v>33.58</v>
      </c>
      <c r="H243" s="76">
        <f t="shared" si="78"/>
        <v>67.16</v>
      </c>
      <c r="I243" s="75"/>
      <c r="J243" s="75"/>
      <c r="K243" s="75">
        <f t="shared" si="79"/>
        <v>2</v>
      </c>
      <c r="L243" s="76">
        <f t="shared" si="80"/>
        <v>52.64</v>
      </c>
      <c r="M243" s="76">
        <f t="shared" si="63"/>
        <v>0</v>
      </c>
      <c r="N243" s="76">
        <f t="shared" si="64"/>
        <v>0</v>
      </c>
      <c r="O243" s="76">
        <f t="shared" si="65"/>
        <v>67.16</v>
      </c>
      <c r="P243" s="76"/>
      <c r="Q243" s="51"/>
      <c r="T243" s="53">
        <v>26.32</v>
      </c>
    </row>
    <row r="244" spans="1:20" s="56" customFormat="1" ht="12" x14ac:dyDescent="0.2">
      <c r="A244" s="94">
        <v>89632</v>
      </c>
      <c r="B244" s="73" t="s">
        <v>471</v>
      </c>
      <c r="C244" s="74" t="s">
        <v>472</v>
      </c>
      <c r="D244" s="73" t="s">
        <v>102</v>
      </c>
      <c r="E244" s="75">
        <v>14</v>
      </c>
      <c r="F244" s="75">
        <f t="shared" si="76"/>
        <v>61.2</v>
      </c>
      <c r="G244" s="75">
        <f t="shared" si="77"/>
        <v>78.09</v>
      </c>
      <c r="H244" s="76">
        <f t="shared" si="78"/>
        <v>1093.26</v>
      </c>
      <c r="I244" s="75"/>
      <c r="J244" s="75"/>
      <c r="K244" s="75">
        <f t="shared" si="79"/>
        <v>14</v>
      </c>
      <c r="L244" s="76">
        <f t="shared" si="80"/>
        <v>856.8</v>
      </c>
      <c r="M244" s="76">
        <f t="shared" si="63"/>
        <v>0</v>
      </c>
      <c r="N244" s="76">
        <f t="shared" si="64"/>
        <v>0</v>
      </c>
      <c r="O244" s="76">
        <f t="shared" si="65"/>
        <v>1093.26</v>
      </c>
      <c r="P244" s="76"/>
      <c r="Q244" s="51"/>
      <c r="T244" s="53">
        <v>61.2</v>
      </c>
    </row>
    <row r="245" spans="1:20" s="56" customFormat="1" ht="12" x14ac:dyDescent="0.2">
      <c r="A245" s="72"/>
      <c r="B245" s="81">
        <v>41646</v>
      </c>
      <c r="C245" s="71" t="s">
        <v>473</v>
      </c>
      <c r="D245" s="72"/>
      <c r="E245" s="72"/>
      <c r="F245" s="75"/>
      <c r="G245" s="72"/>
      <c r="H245" s="72"/>
      <c r="I245" s="72"/>
      <c r="J245" s="72"/>
      <c r="K245" s="72"/>
      <c r="L245" s="72"/>
      <c r="M245" s="76">
        <f t="shared" si="63"/>
        <v>0</v>
      </c>
      <c r="N245" s="76">
        <f t="shared" si="64"/>
        <v>0</v>
      </c>
      <c r="O245" s="76">
        <f t="shared" si="65"/>
        <v>0</v>
      </c>
      <c r="P245" s="72"/>
      <c r="Q245" s="52"/>
      <c r="T245" s="52"/>
    </row>
    <row r="246" spans="1:20" s="56" customFormat="1" ht="12" x14ac:dyDescent="0.2">
      <c r="A246" s="94">
        <v>89382</v>
      </c>
      <c r="B246" s="73" t="s">
        <v>474</v>
      </c>
      <c r="C246" s="74" t="s">
        <v>475</v>
      </c>
      <c r="D246" s="73" t="s">
        <v>102</v>
      </c>
      <c r="E246" s="75">
        <v>2</v>
      </c>
      <c r="F246" s="75">
        <f>ROUND(T246*$T$10,2)</f>
        <v>8.39</v>
      </c>
      <c r="G246" s="75">
        <f>ROUND(F246*(1+$U$1),2)</f>
        <v>10.7</v>
      </c>
      <c r="H246" s="76">
        <f>ROUND(E246*G246,2)</f>
        <v>21.4</v>
      </c>
      <c r="I246" s="75"/>
      <c r="J246" s="75"/>
      <c r="K246" s="75">
        <f t="shared" ref="K246:K253" si="81">E246-I246</f>
        <v>2</v>
      </c>
      <c r="L246" s="76">
        <f>ROUND(E246*F246,2)</f>
        <v>16.78</v>
      </c>
      <c r="M246" s="76">
        <f t="shared" si="63"/>
        <v>0</v>
      </c>
      <c r="N246" s="76">
        <f t="shared" si="64"/>
        <v>0</v>
      </c>
      <c r="O246" s="76">
        <f t="shared" si="65"/>
        <v>21.4</v>
      </c>
      <c r="P246" s="76"/>
      <c r="Q246" s="51"/>
      <c r="T246" s="53">
        <v>8.39</v>
      </c>
    </row>
    <row r="247" spans="1:20" s="56" customFormat="1" ht="12" x14ac:dyDescent="0.2">
      <c r="A247" s="94">
        <v>89390</v>
      </c>
      <c r="B247" s="73" t="s">
        <v>476</v>
      </c>
      <c r="C247" s="74" t="s">
        <v>477</v>
      </c>
      <c r="D247" s="73" t="s">
        <v>102</v>
      </c>
      <c r="E247" s="75">
        <v>2</v>
      </c>
      <c r="F247" s="75">
        <f>ROUND(T247*$T$10,2)</f>
        <v>12.33</v>
      </c>
      <c r="G247" s="75">
        <f>ROUND(F247*(1+$U$1),2)</f>
        <v>15.73</v>
      </c>
      <c r="H247" s="76">
        <f>ROUND(E247*G247,2)</f>
        <v>31.46</v>
      </c>
      <c r="I247" s="75"/>
      <c r="J247" s="75"/>
      <c r="K247" s="75">
        <f t="shared" si="81"/>
        <v>2</v>
      </c>
      <c r="L247" s="76">
        <f>ROUND(E247*F247,2)</f>
        <v>24.66</v>
      </c>
      <c r="M247" s="76">
        <f t="shared" si="63"/>
        <v>0</v>
      </c>
      <c r="N247" s="76">
        <f t="shared" si="64"/>
        <v>0</v>
      </c>
      <c r="O247" s="76">
        <f t="shared" si="65"/>
        <v>31.46</v>
      </c>
      <c r="P247" s="76"/>
      <c r="Q247" s="51"/>
      <c r="T247" s="53">
        <v>12.33</v>
      </c>
    </row>
    <row r="248" spans="1:20" s="56" customFormat="1" ht="12" x14ac:dyDescent="0.2">
      <c r="A248" s="94">
        <v>89594</v>
      </c>
      <c r="B248" s="73" t="s">
        <v>478</v>
      </c>
      <c r="C248" s="74" t="s">
        <v>479</v>
      </c>
      <c r="D248" s="73" t="s">
        <v>102</v>
      </c>
      <c r="E248" s="75">
        <v>4</v>
      </c>
      <c r="F248" s="75">
        <f>ROUND(T248*$T$10,2)</f>
        <v>21.53</v>
      </c>
      <c r="G248" s="75">
        <f>ROUND(F248*(1+$U$1),2)</f>
        <v>27.47</v>
      </c>
      <c r="H248" s="76">
        <f>ROUND(E248*G248,2)</f>
        <v>109.88</v>
      </c>
      <c r="I248" s="75"/>
      <c r="J248" s="75"/>
      <c r="K248" s="75">
        <f t="shared" si="81"/>
        <v>4</v>
      </c>
      <c r="L248" s="76">
        <f>ROUND(E248*F248,2)</f>
        <v>86.12</v>
      </c>
      <c r="M248" s="76">
        <f t="shared" si="63"/>
        <v>0</v>
      </c>
      <c r="N248" s="76">
        <f t="shared" si="64"/>
        <v>0</v>
      </c>
      <c r="O248" s="76">
        <f t="shared" si="65"/>
        <v>109.88</v>
      </c>
      <c r="P248" s="76"/>
      <c r="Q248" s="51"/>
      <c r="T248" s="53">
        <v>21.53</v>
      </c>
    </row>
    <row r="249" spans="1:20" s="56" customFormat="1" ht="12" x14ac:dyDescent="0.2">
      <c r="A249" s="94">
        <v>89615</v>
      </c>
      <c r="B249" s="73" t="s">
        <v>480</v>
      </c>
      <c r="C249" s="74" t="s">
        <v>481</v>
      </c>
      <c r="D249" s="73" t="s">
        <v>102</v>
      </c>
      <c r="E249" s="75">
        <v>2</v>
      </c>
      <c r="F249" s="75">
        <f>ROUND(T249*$T$10,2)</f>
        <v>133.13999999999999</v>
      </c>
      <c r="G249" s="75">
        <f>ROUND(F249*(1+$U$1),2)</f>
        <v>169.87</v>
      </c>
      <c r="H249" s="76">
        <f>ROUND(E249*G249,2)</f>
        <v>339.74</v>
      </c>
      <c r="I249" s="75"/>
      <c r="J249" s="75"/>
      <c r="K249" s="75">
        <f t="shared" si="81"/>
        <v>2</v>
      </c>
      <c r="L249" s="76">
        <f>ROUND(E249*F249,2)</f>
        <v>266.27999999999997</v>
      </c>
      <c r="M249" s="76">
        <f t="shared" si="63"/>
        <v>0</v>
      </c>
      <c r="N249" s="76">
        <f t="shared" si="64"/>
        <v>0</v>
      </c>
      <c r="O249" s="76">
        <f t="shared" si="65"/>
        <v>339.74</v>
      </c>
      <c r="P249" s="76"/>
      <c r="Q249" s="51"/>
      <c r="T249" s="53">
        <v>133.13999999999999</v>
      </c>
    </row>
    <row r="250" spans="1:20" s="56" customFormat="1" ht="12" x14ac:dyDescent="0.2">
      <c r="A250" s="72"/>
      <c r="B250" s="81">
        <v>41647</v>
      </c>
      <c r="C250" s="71" t="s">
        <v>482</v>
      </c>
      <c r="D250" s="72"/>
      <c r="E250" s="72"/>
      <c r="F250" s="75"/>
      <c r="G250" s="72"/>
      <c r="H250" s="72"/>
      <c r="I250" s="72"/>
      <c r="J250" s="72"/>
      <c r="K250" s="75">
        <f t="shared" si="81"/>
        <v>0</v>
      </c>
      <c r="L250" s="72"/>
      <c r="M250" s="76">
        <f t="shared" si="63"/>
        <v>0</v>
      </c>
      <c r="N250" s="76">
        <f t="shared" si="64"/>
        <v>0</v>
      </c>
      <c r="O250" s="76">
        <f t="shared" si="65"/>
        <v>0</v>
      </c>
      <c r="P250" s="72"/>
      <c r="Q250" s="52"/>
      <c r="T250" s="52"/>
    </row>
    <row r="251" spans="1:20" s="56" customFormat="1" ht="12" x14ac:dyDescent="0.2">
      <c r="A251" s="73" t="s">
        <v>483</v>
      </c>
      <c r="B251" s="73" t="s">
        <v>484</v>
      </c>
      <c r="C251" s="74" t="s">
        <v>485</v>
      </c>
      <c r="D251" s="73" t="s">
        <v>102</v>
      </c>
      <c r="E251" s="75">
        <v>74</v>
      </c>
      <c r="F251" s="75">
        <f>ROUND(T251*$T$10,2)</f>
        <v>1.81</v>
      </c>
      <c r="G251" s="75">
        <f>ROUND(F251*(1+$U$1),2)</f>
        <v>2.31</v>
      </c>
      <c r="H251" s="76">
        <f>ROUND(E251*G251,2)</f>
        <v>170.94</v>
      </c>
      <c r="I251" s="75"/>
      <c r="J251" s="75"/>
      <c r="K251" s="75">
        <f t="shared" si="81"/>
        <v>74</v>
      </c>
      <c r="L251" s="76">
        <f>ROUND(E251*F251,2)</f>
        <v>133.94</v>
      </c>
      <c r="M251" s="76">
        <f t="shared" si="63"/>
        <v>0</v>
      </c>
      <c r="N251" s="76">
        <f t="shared" si="64"/>
        <v>0</v>
      </c>
      <c r="O251" s="76">
        <f t="shared" si="65"/>
        <v>170.94</v>
      </c>
      <c r="P251" s="76"/>
      <c r="Q251" s="51"/>
      <c r="T251" s="53">
        <v>1.81</v>
      </c>
    </row>
    <row r="252" spans="1:20" s="56" customFormat="1" ht="12" x14ac:dyDescent="0.2">
      <c r="A252" s="73" t="s">
        <v>486</v>
      </c>
      <c r="B252" s="73" t="s">
        <v>487</v>
      </c>
      <c r="C252" s="74" t="s">
        <v>488</v>
      </c>
      <c r="D252" s="73" t="s">
        <v>102</v>
      </c>
      <c r="E252" s="75">
        <v>17</v>
      </c>
      <c r="F252" s="75">
        <f>ROUND(T252*$T$10,2)</f>
        <v>2.93</v>
      </c>
      <c r="G252" s="75">
        <f>ROUND(F252*(1+$U$1),2)</f>
        <v>3.74</v>
      </c>
      <c r="H252" s="76">
        <f>ROUND(E252*G252,2)</f>
        <v>63.58</v>
      </c>
      <c r="I252" s="75"/>
      <c r="J252" s="75"/>
      <c r="K252" s="75">
        <f t="shared" si="81"/>
        <v>17</v>
      </c>
      <c r="L252" s="76">
        <f>ROUND(E252*F252,2)</f>
        <v>49.81</v>
      </c>
      <c r="M252" s="76">
        <f t="shared" si="63"/>
        <v>0</v>
      </c>
      <c r="N252" s="76">
        <f t="shared" si="64"/>
        <v>0</v>
      </c>
      <c r="O252" s="76">
        <f t="shared" si="65"/>
        <v>63.58</v>
      </c>
      <c r="P252" s="76"/>
      <c r="Q252" s="51"/>
      <c r="T252" s="53">
        <v>2.93</v>
      </c>
    </row>
    <row r="253" spans="1:20" s="56" customFormat="1" ht="12" x14ac:dyDescent="0.2">
      <c r="A253" s="73" t="s">
        <v>78</v>
      </c>
      <c r="B253" s="73" t="s">
        <v>489</v>
      </c>
      <c r="C253" s="74" t="s">
        <v>490</v>
      </c>
      <c r="D253" s="73" t="s">
        <v>102</v>
      </c>
      <c r="E253" s="75">
        <v>23</v>
      </c>
      <c r="F253" s="75">
        <f>ROUND(T253*$T$10,2)</f>
        <v>4.1100000000000003</v>
      </c>
      <c r="G253" s="75">
        <f>ROUND(F253*(1+$U$1),2)</f>
        <v>5.24</v>
      </c>
      <c r="H253" s="76">
        <f>ROUND(E253*G253,2)</f>
        <v>120.52</v>
      </c>
      <c r="I253" s="75"/>
      <c r="J253" s="75"/>
      <c r="K253" s="75">
        <f t="shared" si="81"/>
        <v>23</v>
      </c>
      <c r="L253" s="76">
        <f>ROUND(E253*F253,2)</f>
        <v>94.53</v>
      </c>
      <c r="M253" s="76">
        <f t="shared" si="63"/>
        <v>0</v>
      </c>
      <c r="N253" s="76">
        <f t="shared" si="64"/>
        <v>0</v>
      </c>
      <c r="O253" s="76">
        <f t="shared" si="65"/>
        <v>120.52</v>
      </c>
      <c r="P253" s="76"/>
      <c r="Q253" s="51"/>
      <c r="T253" s="53">
        <v>4.1100000000000003</v>
      </c>
    </row>
    <row r="254" spans="1:20" s="56" customFormat="1" ht="12" x14ac:dyDescent="0.2">
      <c r="A254" s="72"/>
      <c r="B254" s="71"/>
      <c r="C254" s="71"/>
      <c r="D254" s="71"/>
      <c r="E254" s="71"/>
      <c r="F254" s="75"/>
      <c r="G254" s="77" t="s">
        <v>491</v>
      </c>
      <c r="H254" s="78">
        <f>SUM(H192:H253)</f>
        <v>25246.070000000003</v>
      </c>
      <c r="I254" s="71"/>
      <c r="J254" s="71"/>
      <c r="K254" s="71"/>
      <c r="L254" s="78">
        <f>SUM(L192:L253)</f>
        <v>19786.979999999981</v>
      </c>
      <c r="M254" s="78">
        <f>SUM(M192:M253)</f>
        <v>0</v>
      </c>
      <c r="N254" s="78">
        <f>SUM(N192:N253)</f>
        <v>0</v>
      </c>
      <c r="O254" s="78">
        <f>SUM(O192:O253)</f>
        <v>25246.070000000003</v>
      </c>
      <c r="P254" s="78"/>
      <c r="Q254" s="60"/>
      <c r="T254" s="59"/>
    </row>
    <row r="255" spans="1:20" s="56" customFormat="1" ht="12" x14ac:dyDescent="0.2">
      <c r="A255" s="72"/>
      <c r="B255" s="70" t="s">
        <v>492</v>
      </c>
      <c r="C255" s="71" t="s">
        <v>493</v>
      </c>
      <c r="D255" s="72"/>
      <c r="E255" s="72"/>
      <c r="F255" s="75"/>
      <c r="G255" s="72"/>
      <c r="H255" s="72"/>
      <c r="I255" s="72"/>
      <c r="J255" s="72"/>
      <c r="K255" s="72"/>
      <c r="L255" s="72"/>
      <c r="M255" s="76"/>
      <c r="N255" s="76"/>
      <c r="O255" s="76"/>
      <c r="P255" s="72"/>
      <c r="Q255" s="52"/>
      <c r="T255" s="52"/>
    </row>
    <row r="256" spans="1:20" s="56" customFormat="1" ht="12" x14ac:dyDescent="0.2">
      <c r="A256" s="94">
        <v>86902</v>
      </c>
      <c r="B256" s="73" t="s">
        <v>494</v>
      </c>
      <c r="C256" s="74" t="s">
        <v>495</v>
      </c>
      <c r="D256" s="73" t="s">
        <v>102</v>
      </c>
      <c r="E256" s="75">
        <v>7</v>
      </c>
      <c r="F256" s="75">
        <f t="shared" ref="F256:F287" si="82">ROUND(T256*$T$10,2)</f>
        <v>179.19</v>
      </c>
      <c r="G256" s="75">
        <f t="shared" ref="G256:G287" si="83">ROUND(F256*(1+$U$1),2)</f>
        <v>228.63</v>
      </c>
      <c r="H256" s="76">
        <f t="shared" ref="H256:H287" si="84">ROUND(E256*G256,2)</f>
        <v>1600.41</v>
      </c>
      <c r="I256" s="75"/>
      <c r="J256" s="75"/>
      <c r="K256" s="75">
        <f t="shared" ref="K256:K287" si="85">E256-I256</f>
        <v>7</v>
      </c>
      <c r="L256" s="76">
        <f t="shared" ref="L256:L287" si="86">ROUND(E256*F256,2)</f>
        <v>1254.33</v>
      </c>
      <c r="M256" s="76">
        <f t="shared" ref="M256:M287" si="87">I256*G256</f>
        <v>0</v>
      </c>
      <c r="N256" s="76">
        <f t="shared" ref="N256:N287" si="88">J256*G256</f>
        <v>0</v>
      </c>
      <c r="O256" s="76">
        <f t="shared" ref="O256:O287" si="89">H256-N256</f>
        <v>1600.41</v>
      </c>
      <c r="P256" s="76"/>
      <c r="Q256" s="51"/>
      <c r="T256" s="53">
        <v>179.19</v>
      </c>
    </row>
    <row r="257" spans="1:20" s="56" customFormat="1" ht="12" x14ac:dyDescent="0.2">
      <c r="A257" s="94">
        <v>86938</v>
      </c>
      <c r="B257" s="73" t="s">
        <v>496</v>
      </c>
      <c r="C257" s="74" t="s">
        <v>497</v>
      </c>
      <c r="D257" s="73" t="s">
        <v>102</v>
      </c>
      <c r="E257" s="75">
        <v>2</v>
      </c>
      <c r="F257" s="75">
        <f t="shared" si="82"/>
        <v>212.03</v>
      </c>
      <c r="G257" s="75">
        <f t="shared" si="83"/>
        <v>270.52999999999997</v>
      </c>
      <c r="H257" s="76">
        <f t="shared" si="84"/>
        <v>541.05999999999995</v>
      </c>
      <c r="I257" s="75"/>
      <c r="J257" s="75"/>
      <c r="K257" s="75">
        <f t="shared" si="85"/>
        <v>2</v>
      </c>
      <c r="L257" s="76">
        <f t="shared" si="86"/>
        <v>424.06</v>
      </c>
      <c r="M257" s="76">
        <f t="shared" si="87"/>
        <v>0</v>
      </c>
      <c r="N257" s="76">
        <f t="shared" si="88"/>
        <v>0</v>
      </c>
      <c r="O257" s="76">
        <f t="shared" si="89"/>
        <v>541.05999999999995</v>
      </c>
      <c r="P257" s="76"/>
      <c r="Q257" s="51"/>
      <c r="T257" s="53">
        <v>212.03</v>
      </c>
    </row>
    <row r="258" spans="1:20" s="56" customFormat="1" ht="12" x14ac:dyDescent="0.2">
      <c r="A258" s="94">
        <v>86901</v>
      </c>
      <c r="B258" s="73" t="s">
        <v>498</v>
      </c>
      <c r="C258" s="74" t="s">
        <v>499</v>
      </c>
      <c r="D258" s="73" t="s">
        <v>102</v>
      </c>
      <c r="E258" s="75">
        <v>2</v>
      </c>
      <c r="F258" s="75">
        <f t="shared" si="82"/>
        <v>101.58</v>
      </c>
      <c r="G258" s="75">
        <f t="shared" si="83"/>
        <v>129.61000000000001</v>
      </c>
      <c r="H258" s="76">
        <f t="shared" si="84"/>
        <v>259.22000000000003</v>
      </c>
      <c r="I258" s="75"/>
      <c r="J258" s="75"/>
      <c r="K258" s="75">
        <f t="shared" si="85"/>
        <v>2</v>
      </c>
      <c r="L258" s="76">
        <f t="shared" si="86"/>
        <v>203.16</v>
      </c>
      <c r="M258" s="76">
        <f t="shared" si="87"/>
        <v>0</v>
      </c>
      <c r="N258" s="76">
        <f t="shared" si="88"/>
        <v>0</v>
      </c>
      <c r="O258" s="76">
        <f t="shared" si="89"/>
        <v>259.22000000000003</v>
      </c>
      <c r="P258" s="76"/>
      <c r="Q258" s="51"/>
      <c r="T258" s="53">
        <v>101.58</v>
      </c>
    </row>
    <row r="259" spans="1:20" s="56" customFormat="1" ht="12" x14ac:dyDescent="0.2">
      <c r="A259" s="73" t="s">
        <v>78</v>
      </c>
      <c r="B259" s="73" t="s">
        <v>500</v>
      </c>
      <c r="C259" s="74" t="s">
        <v>501</v>
      </c>
      <c r="D259" s="73" t="s">
        <v>102</v>
      </c>
      <c r="E259" s="75">
        <v>2</v>
      </c>
      <c r="F259" s="75">
        <f t="shared" si="82"/>
        <v>412.2</v>
      </c>
      <c r="G259" s="75">
        <f t="shared" si="83"/>
        <v>525.92999999999995</v>
      </c>
      <c r="H259" s="76">
        <f t="shared" si="84"/>
        <v>1051.8599999999999</v>
      </c>
      <c r="I259" s="75"/>
      <c r="J259" s="75"/>
      <c r="K259" s="75">
        <f t="shared" si="85"/>
        <v>2</v>
      </c>
      <c r="L259" s="76">
        <f t="shared" si="86"/>
        <v>824.4</v>
      </c>
      <c r="M259" s="76">
        <f t="shared" si="87"/>
        <v>0</v>
      </c>
      <c r="N259" s="76">
        <f t="shared" si="88"/>
        <v>0</v>
      </c>
      <c r="O259" s="76">
        <f t="shared" si="89"/>
        <v>1051.8599999999999</v>
      </c>
      <c r="P259" s="76"/>
      <c r="Q259" s="51"/>
      <c r="T259" s="53">
        <v>412.2</v>
      </c>
    </row>
    <row r="260" spans="1:20" s="56" customFormat="1" ht="12" x14ac:dyDescent="0.2">
      <c r="A260" s="94">
        <v>72739</v>
      </c>
      <c r="B260" s="73" t="s">
        <v>502</v>
      </c>
      <c r="C260" s="74" t="s">
        <v>503</v>
      </c>
      <c r="D260" s="73" t="s">
        <v>102</v>
      </c>
      <c r="E260" s="75">
        <v>12</v>
      </c>
      <c r="F260" s="75">
        <f t="shared" si="82"/>
        <v>348.66</v>
      </c>
      <c r="G260" s="75">
        <f t="shared" si="83"/>
        <v>444.86</v>
      </c>
      <c r="H260" s="76">
        <f t="shared" si="84"/>
        <v>5338.32</v>
      </c>
      <c r="I260" s="75"/>
      <c r="J260" s="75"/>
      <c r="K260" s="75">
        <f t="shared" si="85"/>
        <v>12</v>
      </c>
      <c r="L260" s="76">
        <f t="shared" si="86"/>
        <v>4183.92</v>
      </c>
      <c r="M260" s="76">
        <f t="shared" si="87"/>
        <v>0</v>
      </c>
      <c r="N260" s="76">
        <f t="shared" si="88"/>
        <v>0</v>
      </c>
      <c r="O260" s="76">
        <f t="shared" si="89"/>
        <v>5338.32</v>
      </c>
      <c r="P260" s="76"/>
      <c r="Q260" s="51"/>
      <c r="T260" s="53">
        <v>348.66</v>
      </c>
    </row>
    <row r="261" spans="1:20" s="56" customFormat="1" ht="12" x14ac:dyDescent="0.2">
      <c r="A261" s="94">
        <v>95469</v>
      </c>
      <c r="B261" s="73" t="s">
        <v>504</v>
      </c>
      <c r="C261" s="74" t="s">
        <v>505</v>
      </c>
      <c r="D261" s="73" t="s">
        <v>102</v>
      </c>
      <c r="E261" s="75">
        <v>9</v>
      </c>
      <c r="F261" s="75">
        <f t="shared" si="82"/>
        <v>153.37</v>
      </c>
      <c r="G261" s="75">
        <f t="shared" si="83"/>
        <v>195.68</v>
      </c>
      <c r="H261" s="76">
        <f t="shared" si="84"/>
        <v>1761.12</v>
      </c>
      <c r="I261" s="75"/>
      <c r="J261" s="75"/>
      <c r="K261" s="75">
        <f t="shared" si="85"/>
        <v>9</v>
      </c>
      <c r="L261" s="76">
        <f t="shared" si="86"/>
        <v>1380.33</v>
      </c>
      <c r="M261" s="76">
        <f t="shared" si="87"/>
        <v>0</v>
      </c>
      <c r="N261" s="76">
        <f t="shared" si="88"/>
        <v>0</v>
      </c>
      <c r="O261" s="76">
        <f t="shared" si="89"/>
        <v>1761.12</v>
      </c>
      <c r="P261" s="76"/>
      <c r="Q261" s="51"/>
      <c r="T261" s="53">
        <v>153.37</v>
      </c>
    </row>
    <row r="262" spans="1:20" s="56" customFormat="1" ht="12" x14ac:dyDescent="0.2">
      <c r="A262" s="73" t="s">
        <v>78</v>
      </c>
      <c r="B262" s="73" t="s">
        <v>506</v>
      </c>
      <c r="C262" s="74" t="s">
        <v>507</v>
      </c>
      <c r="D262" s="73" t="s">
        <v>102</v>
      </c>
      <c r="E262" s="75">
        <v>2</v>
      </c>
      <c r="F262" s="75">
        <f t="shared" si="82"/>
        <v>62.01</v>
      </c>
      <c r="G262" s="75">
        <f t="shared" si="83"/>
        <v>79.12</v>
      </c>
      <c r="H262" s="76">
        <f t="shared" si="84"/>
        <v>158.24</v>
      </c>
      <c r="I262" s="75"/>
      <c r="J262" s="75"/>
      <c r="K262" s="75">
        <f t="shared" si="85"/>
        <v>2</v>
      </c>
      <c r="L262" s="76">
        <f t="shared" si="86"/>
        <v>124.02</v>
      </c>
      <c r="M262" s="76">
        <f t="shared" si="87"/>
        <v>0</v>
      </c>
      <c r="N262" s="76">
        <f t="shared" si="88"/>
        <v>0</v>
      </c>
      <c r="O262" s="76">
        <f t="shared" si="89"/>
        <v>158.24</v>
      </c>
      <c r="P262" s="76"/>
      <c r="Q262" s="51"/>
      <c r="T262" s="53">
        <v>62.01</v>
      </c>
    </row>
    <row r="263" spans="1:20" s="56" customFormat="1" ht="12" x14ac:dyDescent="0.2">
      <c r="A263" s="73" t="s">
        <v>78</v>
      </c>
      <c r="B263" s="73" t="s">
        <v>508</v>
      </c>
      <c r="C263" s="74" t="s">
        <v>509</v>
      </c>
      <c r="D263" s="73" t="s">
        <v>102</v>
      </c>
      <c r="E263" s="75">
        <v>12</v>
      </c>
      <c r="F263" s="75">
        <f t="shared" si="82"/>
        <v>47.22</v>
      </c>
      <c r="G263" s="75">
        <f t="shared" si="83"/>
        <v>60.25</v>
      </c>
      <c r="H263" s="76">
        <f t="shared" si="84"/>
        <v>723</v>
      </c>
      <c r="I263" s="75"/>
      <c r="J263" s="75"/>
      <c r="K263" s="75">
        <f t="shared" si="85"/>
        <v>12</v>
      </c>
      <c r="L263" s="76">
        <f t="shared" si="86"/>
        <v>566.64</v>
      </c>
      <c r="M263" s="76">
        <f t="shared" si="87"/>
        <v>0</v>
      </c>
      <c r="N263" s="76">
        <f t="shared" si="88"/>
        <v>0</v>
      </c>
      <c r="O263" s="76">
        <f t="shared" si="89"/>
        <v>723</v>
      </c>
      <c r="P263" s="76"/>
      <c r="Q263" s="51"/>
      <c r="T263" s="53">
        <v>47.22</v>
      </c>
    </row>
    <row r="264" spans="1:20" s="56" customFormat="1" ht="12" x14ac:dyDescent="0.2">
      <c r="A264" s="73" t="s">
        <v>510</v>
      </c>
      <c r="B264" s="73" t="s">
        <v>511</v>
      </c>
      <c r="C264" s="74" t="s">
        <v>512</v>
      </c>
      <c r="D264" s="73" t="s">
        <v>102</v>
      </c>
      <c r="E264" s="75">
        <v>9</v>
      </c>
      <c r="F264" s="75">
        <f t="shared" si="82"/>
        <v>30.39</v>
      </c>
      <c r="G264" s="75">
        <f t="shared" si="83"/>
        <v>38.770000000000003</v>
      </c>
      <c r="H264" s="76">
        <f t="shared" si="84"/>
        <v>348.93</v>
      </c>
      <c r="I264" s="75"/>
      <c r="J264" s="75"/>
      <c r="K264" s="75">
        <f t="shared" si="85"/>
        <v>9</v>
      </c>
      <c r="L264" s="76">
        <f t="shared" si="86"/>
        <v>273.51</v>
      </c>
      <c r="M264" s="76">
        <f t="shared" si="87"/>
        <v>0</v>
      </c>
      <c r="N264" s="76">
        <f t="shared" si="88"/>
        <v>0</v>
      </c>
      <c r="O264" s="76">
        <f t="shared" si="89"/>
        <v>348.93</v>
      </c>
      <c r="P264" s="76"/>
      <c r="Q264" s="51"/>
      <c r="T264" s="53">
        <v>30.39</v>
      </c>
    </row>
    <row r="265" spans="1:20" s="56" customFormat="1" ht="24" x14ac:dyDescent="0.2">
      <c r="A265" s="73" t="s">
        <v>308</v>
      </c>
      <c r="B265" s="73" t="s">
        <v>513</v>
      </c>
      <c r="C265" s="74" t="s">
        <v>514</v>
      </c>
      <c r="D265" s="73" t="s">
        <v>102</v>
      </c>
      <c r="E265" s="75">
        <v>2</v>
      </c>
      <c r="F265" s="75">
        <f t="shared" si="82"/>
        <v>224.79</v>
      </c>
      <c r="G265" s="75">
        <f t="shared" si="83"/>
        <v>286.81</v>
      </c>
      <c r="H265" s="76">
        <f t="shared" si="84"/>
        <v>573.62</v>
      </c>
      <c r="I265" s="75"/>
      <c r="J265" s="75"/>
      <c r="K265" s="75">
        <f t="shared" si="85"/>
        <v>2</v>
      </c>
      <c r="L265" s="76">
        <f t="shared" si="86"/>
        <v>449.58</v>
      </c>
      <c r="M265" s="76">
        <f t="shared" si="87"/>
        <v>0</v>
      </c>
      <c r="N265" s="76">
        <f t="shared" si="88"/>
        <v>0</v>
      </c>
      <c r="O265" s="76">
        <f t="shared" si="89"/>
        <v>573.62</v>
      </c>
      <c r="P265" s="76"/>
      <c r="Q265" s="51"/>
      <c r="T265" s="53">
        <v>224.79</v>
      </c>
    </row>
    <row r="266" spans="1:20" s="56" customFormat="1" ht="24" x14ac:dyDescent="0.2">
      <c r="A266" s="73" t="s">
        <v>308</v>
      </c>
      <c r="B266" s="73" t="s">
        <v>515</v>
      </c>
      <c r="C266" s="74" t="s">
        <v>516</v>
      </c>
      <c r="D266" s="73" t="s">
        <v>102</v>
      </c>
      <c r="E266" s="75">
        <v>8</v>
      </c>
      <c r="F266" s="75">
        <f t="shared" si="82"/>
        <v>170.36</v>
      </c>
      <c r="G266" s="75">
        <f t="shared" si="83"/>
        <v>217.36</v>
      </c>
      <c r="H266" s="76">
        <f t="shared" si="84"/>
        <v>1738.88</v>
      </c>
      <c r="I266" s="75"/>
      <c r="J266" s="75"/>
      <c r="K266" s="75">
        <f t="shared" si="85"/>
        <v>8</v>
      </c>
      <c r="L266" s="76">
        <f t="shared" si="86"/>
        <v>1362.88</v>
      </c>
      <c r="M266" s="76">
        <f t="shared" si="87"/>
        <v>0</v>
      </c>
      <c r="N266" s="76">
        <f t="shared" si="88"/>
        <v>0</v>
      </c>
      <c r="O266" s="76">
        <f t="shared" si="89"/>
        <v>1738.88</v>
      </c>
      <c r="P266" s="76"/>
      <c r="Q266" s="51"/>
      <c r="T266" s="53">
        <v>170.36</v>
      </c>
    </row>
    <row r="267" spans="1:20" s="56" customFormat="1" ht="24" x14ac:dyDescent="0.2">
      <c r="A267" s="73" t="s">
        <v>308</v>
      </c>
      <c r="B267" s="73" t="s">
        <v>517</v>
      </c>
      <c r="C267" s="74" t="s">
        <v>518</v>
      </c>
      <c r="D267" s="73" t="s">
        <v>102</v>
      </c>
      <c r="E267" s="75">
        <v>4</v>
      </c>
      <c r="F267" s="75">
        <f t="shared" si="82"/>
        <v>108</v>
      </c>
      <c r="G267" s="75">
        <f t="shared" si="83"/>
        <v>137.80000000000001</v>
      </c>
      <c r="H267" s="76">
        <f t="shared" si="84"/>
        <v>551.20000000000005</v>
      </c>
      <c r="I267" s="75"/>
      <c r="J267" s="75"/>
      <c r="K267" s="75">
        <f t="shared" si="85"/>
        <v>4</v>
      </c>
      <c r="L267" s="76">
        <f t="shared" si="86"/>
        <v>432</v>
      </c>
      <c r="M267" s="76">
        <f t="shared" si="87"/>
        <v>0</v>
      </c>
      <c r="N267" s="76">
        <f t="shared" si="88"/>
        <v>0</v>
      </c>
      <c r="O267" s="76">
        <f t="shared" si="89"/>
        <v>551.20000000000005</v>
      </c>
      <c r="P267" s="76"/>
      <c r="Q267" s="51"/>
      <c r="T267" s="53">
        <v>108</v>
      </c>
    </row>
    <row r="268" spans="1:20" s="56" customFormat="1" ht="24" x14ac:dyDescent="0.2">
      <c r="A268" s="73" t="s">
        <v>308</v>
      </c>
      <c r="B268" s="73" t="s">
        <v>519</v>
      </c>
      <c r="C268" s="74" t="s">
        <v>520</v>
      </c>
      <c r="D268" s="73" t="s">
        <v>102</v>
      </c>
      <c r="E268" s="75">
        <v>1</v>
      </c>
      <c r="F268" s="75">
        <f t="shared" si="82"/>
        <v>1249</v>
      </c>
      <c r="G268" s="75">
        <f t="shared" si="83"/>
        <v>1593.6</v>
      </c>
      <c r="H268" s="76">
        <f t="shared" si="84"/>
        <v>1593.6</v>
      </c>
      <c r="I268" s="75"/>
      <c r="J268" s="75"/>
      <c r="K268" s="75">
        <f t="shared" si="85"/>
        <v>1</v>
      </c>
      <c r="L268" s="76">
        <f t="shared" si="86"/>
        <v>1249</v>
      </c>
      <c r="M268" s="76">
        <f t="shared" si="87"/>
        <v>0</v>
      </c>
      <c r="N268" s="76">
        <f t="shared" si="88"/>
        <v>0</v>
      </c>
      <c r="O268" s="76">
        <f t="shared" si="89"/>
        <v>1593.6</v>
      </c>
      <c r="P268" s="76"/>
      <c r="Q268" s="51"/>
      <c r="T268" s="51">
        <v>1249</v>
      </c>
    </row>
    <row r="269" spans="1:20" s="56" customFormat="1" ht="12" x14ac:dyDescent="0.2">
      <c r="A269" s="94">
        <v>86909</v>
      </c>
      <c r="B269" s="73" t="s">
        <v>521</v>
      </c>
      <c r="C269" s="74" t="s">
        <v>522</v>
      </c>
      <c r="D269" s="73" t="s">
        <v>102</v>
      </c>
      <c r="E269" s="75">
        <v>7</v>
      </c>
      <c r="F269" s="75">
        <f t="shared" si="82"/>
        <v>74.2</v>
      </c>
      <c r="G269" s="75">
        <f t="shared" si="83"/>
        <v>94.67</v>
      </c>
      <c r="H269" s="76">
        <f t="shared" si="84"/>
        <v>662.69</v>
      </c>
      <c r="I269" s="75"/>
      <c r="J269" s="75"/>
      <c r="K269" s="75">
        <f t="shared" si="85"/>
        <v>7</v>
      </c>
      <c r="L269" s="76">
        <f t="shared" si="86"/>
        <v>519.4</v>
      </c>
      <c r="M269" s="76">
        <f t="shared" si="87"/>
        <v>0</v>
      </c>
      <c r="N269" s="76">
        <f t="shared" si="88"/>
        <v>0</v>
      </c>
      <c r="O269" s="76">
        <f t="shared" si="89"/>
        <v>662.69</v>
      </c>
      <c r="P269" s="76"/>
      <c r="Q269" s="51"/>
      <c r="T269" s="53">
        <v>74.2</v>
      </c>
    </row>
    <row r="270" spans="1:20" s="56" customFormat="1" ht="12" x14ac:dyDescent="0.2">
      <c r="A270" s="94">
        <v>86911</v>
      </c>
      <c r="B270" s="73" t="s">
        <v>523</v>
      </c>
      <c r="C270" s="74" t="s">
        <v>524</v>
      </c>
      <c r="D270" s="73" t="s">
        <v>102</v>
      </c>
      <c r="E270" s="75">
        <v>14</v>
      </c>
      <c r="F270" s="75">
        <f t="shared" si="82"/>
        <v>31.64</v>
      </c>
      <c r="G270" s="75">
        <f t="shared" si="83"/>
        <v>40.369999999999997</v>
      </c>
      <c r="H270" s="76">
        <f t="shared" si="84"/>
        <v>565.17999999999995</v>
      </c>
      <c r="I270" s="75"/>
      <c r="J270" s="75"/>
      <c r="K270" s="75">
        <f t="shared" si="85"/>
        <v>14</v>
      </c>
      <c r="L270" s="76">
        <f t="shared" si="86"/>
        <v>442.96</v>
      </c>
      <c r="M270" s="76">
        <f t="shared" si="87"/>
        <v>0</v>
      </c>
      <c r="N270" s="76">
        <f t="shared" si="88"/>
        <v>0</v>
      </c>
      <c r="O270" s="76">
        <f t="shared" si="89"/>
        <v>565.17999999999995</v>
      </c>
      <c r="P270" s="76"/>
      <c r="Q270" s="51"/>
      <c r="T270" s="53">
        <v>31.64</v>
      </c>
    </row>
    <row r="271" spans="1:20" s="56" customFormat="1" ht="12" x14ac:dyDescent="0.2">
      <c r="A271" s="94">
        <v>86915</v>
      </c>
      <c r="B271" s="73" t="s">
        <v>525</v>
      </c>
      <c r="C271" s="74" t="s">
        <v>526</v>
      </c>
      <c r="D271" s="73" t="s">
        <v>102</v>
      </c>
      <c r="E271" s="75">
        <v>5</v>
      </c>
      <c r="F271" s="75">
        <f t="shared" si="82"/>
        <v>62.36</v>
      </c>
      <c r="G271" s="75">
        <f t="shared" si="83"/>
        <v>79.569999999999993</v>
      </c>
      <c r="H271" s="76">
        <f t="shared" si="84"/>
        <v>397.85</v>
      </c>
      <c r="I271" s="75"/>
      <c r="J271" s="75"/>
      <c r="K271" s="75">
        <f t="shared" si="85"/>
        <v>5</v>
      </c>
      <c r="L271" s="76">
        <f t="shared" si="86"/>
        <v>311.8</v>
      </c>
      <c r="M271" s="76">
        <f t="shared" si="87"/>
        <v>0</v>
      </c>
      <c r="N271" s="76">
        <f t="shared" si="88"/>
        <v>0</v>
      </c>
      <c r="O271" s="76">
        <f t="shared" si="89"/>
        <v>397.85</v>
      </c>
      <c r="P271" s="76"/>
      <c r="Q271" s="51"/>
      <c r="T271" s="53">
        <v>62.36</v>
      </c>
    </row>
    <row r="272" spans="1:20" s="56" customFormat="1" ht="12" x14ac:dyDescent="0.2">
      <c r="A272" s="73" t="s">
        <v>527</v>
      </c>
      <c r="B272" s="73" t="s">
        <v>528</v>
      </c>
      <c r="C272" s="74" t="s">
        <v>529</v>
      </c>
      <c r="D272" s="73" t="s">
        <v>102</v>
      </c>
      <c r="E272" s="75">
        <v>3</v>
      </c>
      <c r="F272" s="75">
        <f t="shared" si="82"/>
        <v>100.46</v>
      </c>
      <c r="G272" s="75">
        <f t="shared" si="83"/>
        <v>128.18</v>
      </c>
      <c r="H272" s="76">
        <f t="shared" si="84"/>
        <v>384.54</v>
      </c>
      <c r="I272" s="75"/>
      <c r="J272" s="75"/>
      <c r="K272" s="75">
        <f t="shared" si="85"/>
        <v>3</v>
      </c>
      <c r="L272" s="76">
        <f t="shared" si="86"/>
        <v>301.38</v>
      </c>
      <c r="M272" s="76">
        <f t="shared" si="87"/>
        <v>0</v>
      </c>
      <c r="N272" s="76">
        <f t="shared" si="88"/>
        <v>0</v>
      </c>
      <c r="O272" s="76">
        <f t="shared" si="89"/>
        <v>384.54</v>
      </c>
      <c r="P272" s="76"/>
      <c r="Q272" s="51"/>
      <c r="T272" s="53">
        <v>100.46</v>
      </c>
    </row>
    <row r="273" spans="1:20" s="56" customFormat="1" ht="12" x14ac:dyDescent="0.2">
      <c r="A273" s="94">
        <v>86910</v>
      </c>
      <c r="B273" s="73" t="s">
        <v>530</v>
      </c>
      <c r="C273" s="74" t="s">
        <v>531</v>
      </c>
      <c r="D273" s="73" t="s">
        <v>102</v>
      </c>
      <c r="E273" s="75">
        <v>4</v>
      </c>
      <c r="F273" s="75">
        <f t="shared" si="82"/>
        <v>71</v>
      </c>
      <c r="G273" s="75">
        <f t="shared" si="83"/>
        <v>90.59</v>
      </c>
      <c r="H273" s="76">
        <f t="shared" si="84"/>
        <v>362.36</v>
      </c>
      <c r="I273" s="75"/>
      <c r="J273" s="75"/>
      <c r="K273" s="75">
        <f t="shared" si="85"/>
        <v>4</v>
      </c>
      <c r="L273" s="76">
        <f t="shared" si="86"/>
        <v>284</v>
      </c>
      <c r="M273" s="76">
        <f t="shared" si="87"/>
        <v>0</v>
      </c>
      <c r="N273" s="76">
        <f t="shared" si="88"/>
        <v>0</v>
      </c>
      <c r="O273" s="76">
        <f t="shared" si="89"/>
        <v>362.36</v>
      </c>
      <c r="P273" s="76"/>
      <c r="Q273" s="51"/>
      <c r="T273" s="53">
        <v>71</v>
      </c>
    </row>
    <row r="274" spans="1:20" s="56" customFormat="1" ht="12" x14ac:dyDescent="0.2">
      <c r="A274" s="94">
        <v>86906</v>
      </c>
      <c r="B274" s="73" t="s">
        <v>532</v>
      </c>
      <c r="C274" s="74" t="s">
        <v>533</v>
      </c>
      <c r="D274" s="73" t="s">
        <v>102</v>
      </c>
      <c r="E274" s="75">
        <v>7</v>
      </c>
      <c r="F274" s="75">
        <f t="shared" si="82"/>
        <v>37.18</v>
      </c>
      <c r="G274" s="75">
        <f t="shared" si="83"/>
        <v>47.44</v>
      </c>
      <c r="H274" s="76">
        <f t="shared" si="84"/>
        <v>332.08</v>
      </c>
      <c r="I274" s="75"/>
      <c r="J274" s="75"/>
      <c r="K274" s="75">
        <f t="shared" si="85"/>
        <v>7</v>
      </c>
      <c r="L274" s="76">
        <f t="shared" si="86"/>
        <v>260.26</v>
      </c>
      <c r="M274" s="76">
        <f t="shared" si="87"/>
        <v>0</v>
      </c>
      <c r="N274" s="76">
        <f t="shared" si="88"/>
        <v>0</v>
      </c>
      <c r="O274" s="76">
        <f t="shared" si="89"/>
        <v>332.08</v>
      </c>
      <c r="P274" s="76"/>
      <c r="Q274" s="51"/>
      <c r="T274" s="53">
        <v>37.18</v>
      </c>
    </row>
    <row r="275" spans="1:20" s="56" customFormat="1" ht="12" x14ac:dyDescent="0.2">
      <c r="A275" s="94">
        <v>86913</v>
      </c>
      <c r="B275" s="73" t="s">
        <v>534</v>
      </c>
      <c r="C275" s="74" t="s">
        <v>535</v>
      </c>
      <c r="D275" s="73" t="s">
        <v>102</v>
      </c>
      <c r="E275" s="75">
        <v>6</v>
      </c>
      <c r="F275" s="75">
        <f t="shared" si="82"/>
        <v>14.42</v>
      </c>
      <c r="G275" s="75">
        <f t="shared" si="83"/>
        <v>18.399999999999999</v>
      </c>
      <c r="H275" s="76">
        <f t="shared" si="84"/>
        <v>110.4</v>
      </c>
      <c r="I275" s="75"/>
      <c r="J275" s="75"/>
      <c r="K275" s="75">
        <f t="shared" si="85"/>
        <v>6</v>
      </c>
      <c r="L275" s="76">
        <f t="shared" si="86"/>
        <v>86.52</v>
      </c>
      <c r="M275" s="76">
        <f t="shared" si="87"/>
        <v>0</v>
      </c>
      <c r="N275" s="76">
        <f t="shared" si="88"/>
        <v>0</v>
      </c>
      <c r="O275" s="76">
        <f t="shared" si="89"/>
        <v>110.4</v>
      </c>
      <c r="P275" s="76"/>
      <c r="Q275" s="51"/>
      <c r="T275" s="53">
        <v>14.42</v>
      </c>
    </row>
    <row r="276" spans="1:20" s="56" customFormat="1" ht="12" x14ac:dyDescent="0.2">
      <c r="A276" s="73" t="s">
        <v>536</v>
      </c>
      <c r="B276" s="73" t="s">
        <v>537</v>
      </c>
      <c r="C276" s="74" t="s">
        <v>538</v>
      </c>
      <c r="D276" s="73" t="s">
        <v>102</v>
      </c>
      <c r="E276" s="75">
        <v>11</v>
      </c>
      <c r="F276" s="75">
        <f t="shared" si="82"/>
        <v>22.57</v>
      </c>
      <c r="G276" s="75">
        <f t="shared" si="83"/>
        <v>28.8</v>
      </c>
      <c r="H276" s="76">
        <f t="shared" si="84"/>
        <v>316.8</v>
      </c>
      <c r="I276" s="75"/>
      <c r="J276" s="75"/>
      <c r="K276" s="75">
        <f t="shared" si="85"/>
        <v>11</v>
      </c>
      <c r="L276" s="76">
        <f t="shared" si="86"/>
        <v>248.27</v>
      </c>
      <c r="M276" s="76">
        <f t="shared" si="87"/>
        <v>0</v>
      </c>
      <c r="N276" s="76">
        <f t="shared" si="88"/>
        <v>0</v>
      </c>
      <c r="O276" s="76">
        <f t="shared" si="89"/>
        <v>316.8</v>
      </c>
      <c r="P276" s="76"/>
      <c r="Q276" s="51"/>
      <c r="T276" s="53">
        <v>22.57</v>
      </c>
    </row>
    <row r="277" spans="1:20" s="56" customFormat="1" ht="12" x14ac:dyDescent="0.2">
      <c r="A277" s="94">
        <v>94796</v>
      </c>
      <c r="B277" s="73" t="s">
        <v>539</v>
      </c>
      <c r="C277" s="74" t="s">
        <v>540</v>
      </c>
      <c r="D277" s="73" t="s">
        <v>102</v>
      </c>
      <c r="E277" s="75">
        <v>1</v>
      </c>
      <c r="F277" s="75">
        <f t="shared" si="82"/>
        <v>26.75</v>
      </c>
      <c r="G277" s="75">
        <f t="shared" si="83"/>
        <v>34.130000000000003</v>
      </c>
      <c r="H277" s="76">
        <f t="shared" si="84"/>
        <v>34.130000000000003</v>
      </c>
      <c r="I277" s="75"/>
      <c r="J277" s="75"/>
      <c r="K277" s="75">
        <f t="shared" si="85"/>
        <v>1</v>
      </c>
      <c r="L277" s="76">
        <f t="shared" si="86"/>
        <v>26.75</v>
      </c>
      <c r="M277" s="76">
        <f t="shared" si="87"/>
        <v>0</v>
      </c>
      <c r="N277" s="76">
        <f t="shared" si="88"/>
        <v>0</v>
      </c>
      <c r="O277" s="76">
        <f t="shared" si="89"/>
        <v>34.130000000000003</v>
      </c>
      <c r="P277" s="76"/>
      <c r="Q277" s="51"/>
      <c r="T277" s="53">
        <v>26.75</v>
      </c>
    </row>
    <row r="278" spans="1:20" s="56" customFormat="1" ht="12" x14ac:dyDescent="0.2">
      <c r="A278" s="94">
        <v>89985</v>
      </c>
      <c r="B278" s="73" t="s">
        <v>541</v>
      </c>
      <c r="C278" s="74" t="s">
        <v>542</v>
      </c>
      <c r="D278" s="73" t="s">
        <v>102</v>
      </c>
      <c r="E278" s="75">
        <v>19</v>
      </c>
      <c r="F278" s="75">
        <f t="shared" si="82"/>
        <v>61.1</v>
      </c>
      <c r="G278" s="75">
        <f t="shared" si="83"/>
        <v>77.959999999999994</v>
      </c>
      <c r="H278" s="76">
        <f t="shared" si="84"/>
        <v>1481.24</v>
      </c>
      <c r="I278" s="75"/>
      <c r="J278" s="75"/>
      <c r="K278" s="75">
        <f t="shared" si="85"/>
        <v>19</v>
      </c>
      <c r="L278" s="76">
        <f t="shared" si="86"/>
        <v>1160.9000000000001</v>
      </c>
      <c r="M278" s="76">
        <f t="shared" si="87"/>
        <v>0</v>
      </c>
      <c r="N278" s="76">
        <f t="shared" si="88"/>
        <v>0</v>
      </c>
      <c r="O278" s="76">
        <f t="shared" si="89"/>
        <v>1481.24</v>
      </c>
      <c r="P278" s="76"/>
      <c r="Q278" s="51"/>
      <c r="T278" s="53">
        <v>61.1</v>
      </c>
    </row>
    <row r="279" spans="1:20" s="56" customFormat="1" ht="12" x14ac:dyDescent="0.2">
      <c r="A279" s="94">
        <v>89351</v>
      </c>
      <c r="B279" s="73" t="s">
        <v>543</v>
      </c>
      <c r="C279" s="74" t="s">
        <v>544</v>
      </c>
      <c r="D279" s="73" t="s">
        <v>102</v>
      </c>
      <c r="E279" s="75">
        <v>5</v>
      </c>
      <c r="F279" s="75">
        <f t="shared" si="82"/>
        <v>24.75</v>
      </c>
      <c r="G279" s="75">
        <f t="shared" si="83"/>
        <v>31.58</v>
      </c>
      <c r="H279" s="76">
        <f t="shared" si="84"/>
        <v>157.9</v>
      </c>
      <c r="I279" s="75"/>
      <c r="J279" s="75"/>
      <c r="K279" s="75">
        <f t="shared" si="85"/>
        <v>5</v>
      </c>
      <c r="L279" s="76">
        <f t="shared" si="86"/>
        <v>123.75</v>
      </c>
      <c r="M279" s="76">
        <f t="shared" si="87"/>
        <v>0</v>
      </c>
      <c r="N279" s="76">
        <f t="shared" si="88"/>
        <v>0</v>
      </c>
      <c r="O279" s="76">
        <f t="shared" si="89"/>
        <v>157.9</v>
      </c>
      <c r="P279" s="76"/>
      <c r="Q279" s="51"/>
      <c r="T279" s="53">
        <v>24.75</v>
      </c>
    </row>
    <row r="280" spans="1:20" s="56" customFormat="1" ht="12" x14ac:dyDescent="0.2">
      <c r="A280" s="73" t="s">
        <v>545</v>
      </c>
      <c r="B280" s="73" t="s">
        <v>546</v>
      </c>
      <c r="C280" s="74" t="s">
        <v>547</v>
      </c>
      <c r="D280" s="73" t="s">
        <v>102</v>
      </c>
      <c r="E280" s="75">
        <v>8</v>
      </c>
      <c r="F280" s="75">
        <f t="shared" si="82"/>
        <v>40.06</v>
      </c>
      <c r="G280" s="75">
        <f t="shared" si="83"/>
        <v>51.11</v>
      </c>
      <c r="H280" s="76">
        <f t="shared" si="84"/>
        <v>408.88</v>
      </c>
      <c r="I280" s="75"/>
      <c r="J280" s="75"/>
      <c r="K280" s="75">
        <f t="shared" si="85"/>
        <v>8</v>
      </c>
      <c r="L280" s="76">
        <f t="shared" si="86"/>
        <v>320.48</v>
      </c>
      <c r="M280" s="76">
        <f t="shared" si="87"/>
        <v>0</v>
      </c>
      <c r="N280" s="76">
        <f t="shared" si="88"/>
        <v>0</v>
      </c>
      <c r="O280" s="76">
        <f t="shared" si="89"/>
        <v>408.88</v>
      </c>
      <c r="P280" s="76"/>
      <c r="Q280" s="51"/>
      <c r="T280" s="53">
        <v>40.06</v>
      </c>
    </row>
    <row r="281" spans="1:20" s="56" customFormat="1" ht="12" x14ac:dyDescent="0.2">
      <c r="A281" s="73" t="s">
        <v>548</v>
      </c>
      <c r="B281" s="73" t="s">
        <v>549</v>
      </c>
      <c r="C281" s="74" t="s">
        <v>550</v>
      </c>
      <c r="D281" s="73" t="s">
        <v>102</v>
      </c>
      <c r="E281" s="75">
        <v>6</v>
      </c>
      <c r="F281" s="75">
        <f t="shared" si="82"/>
        <v>71.88</v>
      </c>
      <c r="G281" s="75">
        <f t="shared" si="83"/>
        <v>91.71</v>
      </c>
      <c r="H281" s="76">
        <f t="shared" si="84"/>
        <v>550.26</v>
      </c>
      <c r="I281" s="75"/>
      <c r="J281" s="75"/>
      <c r="K281" s="75">
        <f t="shared" si="85"/>
        <v>6</v>
      </c>
      <c r="L281" s="76">
        <f t="shared" si="86"/>
        <v>431.28</v>
      </c>
      <c r="M281" s="76">
        <f t="shared" si="87"/>
        <v>0</v>
      </c>
      <c r="N281" s="76">
        <f t="shared" si="88"/>
        <v>0</v>
      </c>
      <c r="O281" s="76">
        <f t="shared" si="89"/>
        <v>550.26</v>
      </c>
      <c r="P281" s="76"/>
      <c r="Q281" s="51"/>
      <c r="T281" s="53">
        <v>71.88</v>
      </c>
    </row>
    <row r="282" spans="1:20" s="56" customFormat="1" ht="12" x14ac:dyDescent="0.2">
      <c r="A282" s="73" t="s">
        <v>551</v>
      </c>
      <c r="B282" s="73" t="s">
        <v>552</v>
      </c>
      <c r="C282" s="74" t="s">
        <v>553</v>
      </c>
      <c r="D282" s="73" t="s">
        <v>102</v>
      </c>
      <c r="E282" s="75">
        <v>5</v>
      </c>
      <c r="F282" s="75">
        <f t="shared" si="82"/>
        <v>267.62</v>
      </c>
      <c r="G282" s="75">
        <f t="shared" si="83"/>
        <v>341.46</v>
      </c>
      <c r="H282" s="76">
        <f t="shared" si="84"/>
        <v>1707.3</v>
      </c>
      <c r="I282" s="75"/>
      <c r="J282" s="75"/>
      <c r="K282" s="75">
        <f t="shared" si="85"/>
        <v>5</v>
      </c>
      <c r="L282" s="76">
        <f t="shared" si="86"/>
        <v>1338.1</v>
      </c>
      <c r="M282" s="76">
        <f t="shared" si="87"/>
        <v>0</v>
      </c>
      <c r="N282" s="76">
        <f t="shared" si="88"/>
        <v>0</v>
      </c>
      <c r="O282" s="76">
        <f t="shared" si="89"/>
        <v>1707.3</v>
      </c>
      <c r="P282" s="76"/>
      <c r="Q282" s="51"/>
      <c r="T282" s="53">
        <v>267.62</v>
      </c>
    </row>
    <row r="283" spans="1:20" s="56" customFormat="1" ht="12" x14ac:dyDescent="0.2">
      <c r="A283" s="94">
        <v>89987</v>
      </c>
      <c r="B283" s="73" t="s">
        <v>554</v>
      </c>
      <c r="C283" s="74" t="s">
        <v>555</v>
      </c>
      <c r="D283" s="73" t="s">
        <v>102</v>
      </c>
      <c r="E283" s="75">
        <v>39</v>
      </c>
      <c r="F283" s="75">
        <f t="shared" si="82"/>
        <v>64.260000000000005</v>
      </c>
      <c r="G283" s="75">
        <f t="shared" si="83"/>
        <v>81.99</v>
      </c>
      <c r="H283" s="76">
        <f t="shared" si="84"/>
        <v>3197.61</v>
      </c>
      <c r="I283" s="75"/>
      <c r="J283" s="75"/>
      <c r="K283" s="75">
        <f t="shared" si="85"/>
        <v>39</v>
      </c>
      <c r="L283" s="76">
        <f t="shared" si="86"/>
        <v>2506.14</v>
      </c>
      <c r="M283" s="76">
        <f t="shared" si="87"/>
        <v>0</v>
      </c>
      <c r="N283" s="76">
        <f t="shared" si="88"/>
        <v>0</v>
      </c>
      <c r="O283" s="76">
        <f t="shared" si="89"/>
        <v>3197.61</v>
      </c>
      <c r="P283" s="76"/>
      <c r="Q283" s="51"/>
      <c r="T283" s="53">
        <v>64.260000000000005</v>
      </c>
    </row>
    <row r="284" spans="1:20" s="56" customFormat="1" ht="12" x14ac:dyDescent="0.2">
      <c r="A284" s="94">
        <v>94792</v>
      </c>
      <c r="B284" s="73" t="s">
        <v>556</v>
      </c>
      <c r="C284" s="74" t="s">
        <v>557</v>
      </c>
      <c r="D284" s="73" t="s">
        <v>102</v>
      </c>
      <c r="E284" s="75">
        <v>10</v>
      </c>
      <c r="F284" s="75">
        <f t="shared" si="82"/>
        <v>92.77</v>
      </c>
      <c r="G284" s="75">
        <f t="shared" si="83"/>
        <v>118.37</v>
      </c>
      <c r="H284" s="76">
        <f t="shared" si="84"/>
        <v>1183.7</v>
      </c>
      <c r="I284" s="75"/>
      <c r="J284" s="75"/>
      <c r="K284" s="75">
        <f t="shared" si="85"/>
        <v>10</v>
      </c>
      <c r="L284" s="76">
        <f t="shared" si="86"/>
        <v>927.7</v>
      </c>
      <c r="M284" s="76">
        <f t="shared" si="87"/>
        <v>0</v>
      </c>
      <c r="N284" s="76">
        <f t="shared" si="88"/>
        <v>0</v>
      </c>
      <c r="O284" s="76">
        <f t="shared" si="89"/>
        <v>1183.7</v>
      </c>
      <c r="P284" s="76"/>
      <c r="Q284" s="51"/>
      <c r="T284" s="53">
        <v>92.77</v>
      </c>
    </row>
    <row r="285" spans="1:20" s="56" customFormat="1" ht="12" x14ac:dyDescent="0.2">
      <c r="A285" s="94">
        <v>94794</v>
      </c>
      <c r="B285" s="73" t="s">
        <v>558</v>
      </c>
      <c r="C285" s="74" t="s">
        <v>559</v>
      </c>
      <c r="D285" s="73" t="s">
        <v>102</v>
      </c>
      <c r="E285" s="75">
        <v>12</v>
      </c>
      <c r="F285" s="75">
        <f t="shared" si="82"/>
        <v>124.23</v>
      </c>
      <c r="G285" s="75">
        <f t="shared" si="83"/>
        <v>158.51</v>
      </c>
      <c r="H285" s="76">
        <f t="shared" si="84"/>
        <v>1902.12</v>
      </c>
      <c r="I285" s="75"/>
      <c r="J285" s="75"/>
      <c r="K285" s="75">
        <f t="shared" si="85"/>
        <v>12</v>
      </c>
      <c r="L285" s="76">
        <f t="shared" si="86"/>
        <v>1490.76</v>
      </c>
      <c r="M285" s="76">
        <f t="shared" si="87"/>
        <v>0</v>
      </c>
      <c r="N285" s="76">
        <f t="shared" si="88"/>
        <v>0</v>
      </c>
      <c r="O285" s="76">
        <f t="shared" si="89"/>
        <v>1902.12</v>
      </c>
      <c r="P285" s="76"/>
      <c r="Q285" s="51"/>
      <c r="T285" s="53">
        <v>124.23</v>
      </c>
    </row>
    <row r="286" spans="1:20" s="56" customFormat="1" ht="12" x14ac:dyDescent="0.2">
      <c r="A286" s="73" t="s">
        <v>78</v>
      </c>
      <c r="B286" s="73" t="s">
        <v>560</v>
      </c>
      <c r="C286" s="74" t="s">
        <v>561</v>
      </c>
      <c r="D286" s="73" t="s">
        <v>102</v>
      </c>
      <c r="E286" s="75">
        <v>11</v>
      </c>
      <c r="F286" s="75">
        <f t="shared" si="82"/>
        <v>20.3</v>
      </c>
      <c r="G286" s="75">
        <f t="shared" si="83"/>
        <v>25.9</v>
      </c>
      <c r="H286" s="76">
        <f t="shared" si="84"/>
        <v>284.89999999999998</v>
      </c>
      <c r="I286" s="75"/>
      <c r="J286" s="75"/>
      <c r="K286" s="75">
        <f t="shared" si="85"/>
        <v>11</v>
      </c>
      <c r="L286" s="76">
        <f t="shared" si="86"/>
        <v>223.3</v>
      </c>
      <c r="M286" s="76">
        <f t="shared" si="87"/>
        <v>0</v>
      </c>
      <c r="N286" s="76">
        <f t="shared" si="88"/>
        <v>0</v>
      </c>
      <c r="O286" s="76">
        <f t="shared" si="89"/>
        <v>284.89999999999998</v>
      </c>
      <c r="P286" s="76"/>
      <c r="Q286" s="51"/>
      <c r="T286" s="53">
        <v>20.3</v>
      </c>
    </row>
    <row r="287" spans="1:20" s="56" customFormat="1" ht="12" x14ac:dyDescent="0.2">
      <c r="A287" s="73" t="s">
        <v>78</v>
      </c>
      <c r="B287" s="73" t="s">
        <v>562</v>
      </c>
      <c r="C287" s="74" t="s">
        <v>563</v>
      </c>
      <c r="D287" s="73" t="s">
        <v>102</v>
      </c>
      <c r="E287" s="75">
        <v>7</v>
      </c>
      <c r="F287" s="75">
        <f t="shared" si="82"/>
        <v>25.99</v>
      </c>
      <c r="G287" s="75">
        <f t="shared" si="83"/>
        <v>33.159999999999997</v>
      </c>
      <c r="H287" s="76">
        <f t="shared" si="84"/>
        <v>232.12</v>
      </c>
      <c r="I287" s="75"/>
      <c r="J287" s="75"/>
      <c r="K287" s="75">
        <f t="shared" si="85"/>
        <v>7</v>
      </c>
      <c r="L287" s="76">
        <f t="shared" si="86"/>
        <v>181.93</v>
      </c>
      <c r="M287" s="76">
        <f t="shared" si="87"/>
        <v>0</v>
      </c>
      <c r="N287" s="76">
        <f t="shared" si="88"/>
        <v>0</v>
      </c>
      <c r="O287" s="76">
        <f t="shared" si="89"/>
        <v>232.12</v>
      </c>
      <c r="P287" s="76"/>
      <c r="Q287" s="51"/>
      <c r="T287" s="53">
        <v>25.99</v>
      </c>
    </row>
    <row r="288" spans="1:20" s="56" customFormat="1" ht="12" x14ac:dyDescent="0.2">
      <c r="A288" s="94">
        <v>9535</v>
      </c>
      <c r="B288" s="73" t="s">
        <v>564</v>
      </c>
      <c r="C288" s="74" t="s">
        <v>565</v>
      </c>
      <c r="D288" s="73" t="s">
        <v>102</v>
      </c>
      <c r="E288" s="75">
        <v>12</v>
      </c>
      <c r="F288" s="75">
        <f t="shared" ref="F288:F309" si="90">ROUND(T288*$T$10,2)</f>
        <v>56.12</v>
      </c>
      <c r="G288" s="75">
        <f t="shared" ref="G288:G309" si="91">ROUND(F288*(1+$U$1),2)</f>
        <v>71.599999999999994</v>
      </c>
      <c r="H288" s="76">
        <f t="shared" ref="H288:H309" si="92">ROUND(E288*G288,2)</f>
        <v>859.2</v>
      </c>
      <c r="I288" s="75"/>
      <c r="J288" s="75"/>
      <c r="K288" s="75">
        <f t="shared" ref="K288:K309" si="93">E288-I288</f>
        <v>12</v>
      </c>
      <c r="L288" s="76">
        <f t="shared" ref="L288:L309" si="94">ROUND(E288*F288,2)</f>
        <v>673.44</v>
      </c>
      <c r="M288" s="76">
        <f t="shared" ref="M288:M309" si="95">I288*G288</f>
        <v>0</v>
      </c>
      <c r="N288" s="76">
        <f t="shared" ref="N288:N309" si="96">J288*G288</f>
        <v>0</v>
      </c>
      <c r="O288" s="76">
        <f t="shared" ref="O288:O309" si="97">H288-N288</f>
        <v>859.2</v>
      </c>
      <c r="P288" s="76"/>
      <c r="Q288" s="51"/>
      <c r="T288" s="53">
        <v>56.12</v>
      </c>
    </row>
    <row r="289" spans="1:20" s="56" customFormat="1" ht="12" x14ac:dyDescent="0.2">
      <c r="A289" s="73" t="s">
        <v>308</v>
      </c>
      <c r="B289" s="73" t="s">
        <v>566</v>
      </c>
      <c r="C289" s="74" t="s">
        <v>567</v>
      </c>
      <c r="D289" s="73" t="s">
        <v>102</v>
      </c>
      <c r="E289" s="75">
        <v>4</v>
      </c>
      <c r="F289" s="75">
        <f t="shared" si="90"/>
        <v>40.85</v>
      </c>
      <c r="G289" s="75">
        <f t="shared" si="91"/>
        <v>52.12</v>
      </c>
      <c r="H289" s="76">
        <f t="shared" si="92"/>
        <v>208.48</v>
      </c>
      <c r="I289" s="75"/>
      <c r="J289" s="75"/>
      <c r="K289" s="75">
        <f t="shared" si="93"/>
        <v>4</v>
      </c>
      <c r="L289" s="76">
        <f t="shared" si="94"/>
        <v>163.4</v>
      </c>
      <c r="M289" s="76">
        <f t="shared" si="95"/>
        <v>0</v>
      </c>
      <c r="N289" s="76">
        <f t="shared" si="96"/>
        <v>0</v>
      </c>
      <c r="O289" s="76">
        <f t="shared" si="97"/>
        <v>208.48</v>
      </c>
      <c r="P289" s="76"/>
      <c r="Q289" s="51"/>
      <c r="T289" s="53">
        <v>40.85</v>
      </c>
    </row>
    <row r="290" spans="1:20" s="56" customFormat="1" ht="12" x14ac:dyDescent="0.2">
      <c r="A290" s="94">
        <v>9535</v>
      </c>
      <c r="B290" s="73" t="s">
        <v>568</v>
      </c>
      <c r="C290" s="74" t="s">
        <v>569</v>
      </c>
      <c r="D290" s="73" t="s">
        <v>102</v>
      </c>
      <c r="E290" s="75">
        <v>4</v>
      </c>
      <c r="F290" s="75">
        <f t="shared" si="90"/>
        <v>56.21</v>
      </c>
      <c r="G290" s="75">
        <f t="shared" si="91"/>
        <v>71.72</v>
      </c>
      <c r="H290" s="76">
        <f t="shared" si="92"/>
        <v>286.88</v>
      </c>
      <c r="I290" s="75"/>
      <c r="J290" s="75"/>
      <c r="K290" s="75">
        <f t="shared" si="93"/>
        <v>4</v>
      </c>
      <c r="L290" s="76">
        <f t="shared" si="94"/>
        <v>224.84</v>
      </c>
      <c r="M290" s="76">
        <f t="shared" si="95"/>
        <v>0</v>
      </c>
      <c r="N290" s="76">
        <f t="shared" si="96"/>
        <v>0</v>
      </c>
      <c r="O290" s="76">
        <f t="shared" si="97"/>
        <v>286.88</v>
      </c>
      <c r="P290" s="76"/>
      <c r="Q290" s="51"/>
      <c r="T290" s="53">
        <v>56.21</v>
      </c>
    </row>
    <row r="291" spans="1:20" s="56" customFormat="1" ht="12" x14ac:dyDescent="0.2">
      <c r="A291" s="73" t="s">
        <v>78</v>
      </c>
      <c r="B291" s="73" t="s">
        <v>570</v>
      </c>
      <c r="C291" s="74" t="s">
        <v>571</v>
      </c>
      <c r="D291" s="73" t="s">
        <v>102</v>
      </c>
      <c r="E291" s="75">
        <v>5</v>
      </c>
      <c r="F291" s="75">
        <f t="shared" si="90"/>
        <v>132.01</v>
      </c>
      <c r="G291" s="75">
        <f t="shared" si="91"/>
        <v>168.43</v>
      </c>
      <c r="H291" s="76">
        <f t="shared" si="92"/>
        <v>842.15</v>
      </c>
      <c r="I291" s="75"/>
      <c r="J291" s="75"/>
      <c r="K291" s="75">
        <f t="shared" si="93"/>
        <v>5</v>
      </c>
      <c r="L291" s="76">
        <f t="shared" si="94"/>
        <v>660.05</v>
      </c>
      <c r="M291" s="76">
        <f t="shared" si="95"/>
        <v>0</v>
      </c>
      <c r="N291" s="76">
        <f t="shared" si="96"/>
        <v>0</v>
      </c>
      <c r="O291" s="76">
        <f t="shared" si="97"/>
        <v>842.15</v>
      </c>
      <c r="P291" s="76"/>
      <c r="Q291" s="51"/>
      <c r="T291" s="53">
        <v>132.01</v>
      </c>
    </row>
    <row r="292" spans="1:20" s="56" customFormat="1" ht="24" x14ac:dyDescent="0.2">
      <c r="A292" s="94">
        <v>40729</v>
      </c>
      <c r="B292" s="73" t="s">
        <v>572</v>
      </c>
      <c r="C292" s="74" t="s">
        <v>573</v>
      </c>
      <c r="D292" s="73" t="s">
        <v>102</v>
      </c>
      <c r="E292" s="75">
        <v>23</v>
      </c>
      <c r="F292" s="75">
        <f t="shared" si="90"/>
        <v>218.15</v>
      </c>
      <c r="G292" s="75">
        <f t="shared" si="91"/>
        <v>278.33999999999997</v>
      </c>
      <c r="H292" s="76">
        <f t="shared" si="92"/>
        <v>6401.82</v>
      </c>
      <c r="I292" s="75"/>
      <c r="J292" s="75"/>
      <c r="K292" s="75">
        <f t="shared" si="93"/>
        <v>23</v>
      </c>
      <c r="L292" s="76">
        <f t="shared" si="94"/>
        <v>5017.45</v>
      </c>
      <c r="M292" s="76">
        <f t="shared" si="95"/>
        <v>0</v>
      </c>
      <c r="N292" s="76">
        <f t="shared" si="96"/>
        <v>0</v>
      </c>
      <c r="O292" s="76">
        <f t="shared" si="97"/>
        <v>6401.82</v>
      </c>
      <c r="P292" s="76"/>
      <c r="Q292" s="51"/>
      <c r="T292" s="53">
        <v>218.15</v>
      </c>
    </row>
    <row r="293" spans="1:20" s="56" customFormat="1" ht="12" x14ac:dyDescent="0.2">
      <c r="A293" s="73" t="s">
        <v>308</v>
      </c>
      <c r="B293" s="73" t="s">
        <v>574</v>
      </c>
      <c r="C293" s="74" t="s">
        <v>575</v>
      </c>
      <c r="D293" s="73" t="s">
        <v>102</v>
      </c>
      <c r="E293" s="75">
        <v>1</v>
      </c>
      <c r="F293" s="75">
        <f t="shared" si="90"/>
        <v>5800</v>
      </c>
      <c r="G293" s="75">
        <f t="shared" si="91"/>
        <v>7400.22</v>
      </c>
      <c r="H293" s="76">
        <f t="shared" si="92"/>
        <v>7400.22</v>
      </c>
      <c r="I293" s="75"/>
      <c r="J293" s="75"/>
      <c r="K293" s="75">
        <f t="shared" si="93"/>
        <v>1</v>
      </c>
      <c r="L293" s="76">
        <f t="shared" si="94"/>
        <v>5800</v>
      </c>
      <c r="M293" s="76">
        <f t="shared" si="95"/>
        <v>0</v>
      </c>
      <c r="N293" s="76">
        <f t="shared" si="96"/>
        <v>0</v>
      </c>
      <c r="O293" s="76">
        <f t="shared" si="97"/>
        <v>7400.22</v>
      </c>
      <c r="P293" s="76"/>
      <c r="Q293" s="51"/>
      <c r="T293" s="51">
        <v>5800</v>
      </c>
    </row>
    <row r="294" spans="1:20" s="56" customFormat="1" ht="12" x14ac:dyDescent="0.2">
      <c r="A294" s="73" t="s">
        <v>308</v>
      </c>
      <c r="B294" s="73" t="s">
        <v>576</v>
      </c>
      <c r="C294" s="74" t="s">
        <v>577</v>
      </c>
      <c r="D294" s="73" t="s">
        <v>102</v>
      </c>
      <c r="E294" s="75">
        <v>23</v>
      </c>
      <c r="F294" s="75">
        <f t="shared" si="90"/>
        <v>7.69</v>
      </c>
      <c r="G294" s="75">
        <f t="shared" si="91"/>
        <v>9.81</v>
      </c>
      <c r="H294" s="76">
        <f t="shared" si="92"/>
        <v>225.63</v>
      </c>
      <c r="I294" s="75"/>
      <c r="J294" s="75"/>
      <c r="K294" s="75">
        <f t="shared" si="93"/>
        <v>23</v>
      </c>
      <c r="L294" s="76">
        <f t="shared" si="94"/>
        <v>176.87</v>
      </c>
      <c r="M294" s="76">
        <f t="shared" si="95"/>
        <v>0</v>
      </c>
      <c r="N294" s="76">
        <f t="shared" si="96"/>
        <v>0</v>
      </c>
      <c r="O294" s="76">
        <f t="shared" si="97"/>
        <v>225.63</v>
      </c>
      <c r="P294" s="76"/>
      <c r="Q294" s="51"/>
      <c r="T294" s="53">
        <v>7.69</v>
      </c>
    </row>
    <row r="295" spans="1:20" s="56" customFormat="1" ht="12" x14ac:dyDescent="0.2">
      <c r="A295" s="73" t="s">
        <v>578</v>
      </c>
      <c r="B295" s="73" t="s">
        <v>579</v>
      </c>
      <c r="C295" s="74" t="s">
        <v>580</v>
      </c>
      <c r="D295" s="73" t="s">
        <v>102</v>
      </c>
      <c r="E295" s="75">
        <v>1</v>
      </c>
      <c r="F295" s="75">
        <f t="shared" si="90"/>
        <v>7.69</v>
      </c>
      <c r="G295" s="75">
        <f t="shared" si="91"/>
        <v>9.81</v>
      </c>
      <c r="H295" s="76">
        <f t="shared" si="92"/>
        <v>9.81</v>
      </c>
      <c r="I295" s="75"/>
      <c r="J295" s="75"/>
      <c r="K295" s="75">
        <f t="shared" si="93"/>
        <v>1</v>
      </c>
      <c r="L295" s="76">
        <f t="shared" si="94"/>
        <v>7.69</v>
      </c>
      <c r="M295" s="76">
        <f t="shared" si="95"/>
        <v>0</v>
      </c>
      <c r="N295" s="76">
        <f t="shared" si="96"/>
        <v>0</v>
      </c>
      <c r="O295" s="76">
        <f t="shared" si="97"/>
        <v>9.81</v>
      </c>
      <c r="P295" s="76"/>
      <c r="Q295" s="51"/>
      <c r="T295" s="53">
        <v>7.69</v>
      </c>
    </row>
    <row r="296" spans="1:20" s="56" customFormat="1" ht="12" x14ac:dyDescent="0.2">
      <c r="A296" s="73" t="s">
        <v>581</v>
      </c>
      <c r="B296" s="73" t="s">
        <v>582</v>
      </c>
      <c r="C296" s="74" t="s">
        <v>583</v>
      </c>
      <c r="D296" s="73" t="s">
        <v>102</v>
      </c>
      <c r="E296" s="75">
        <v>1</v>
      </c>
      <c r="F296" s="75">
        <f t="shared" si="90"/>
        <v>44.58</v>
      </c>
      <c r="G296" s="75">
        <f t="shared" si="91"/>
        <v>56.88</v>
      </c>
      <c r="H296" s="76">
        <f t="shared" si="92"/>
        <v>56.88</v>
      </c>
      <c r="I296" s="75"/>
      <c r="J296" s="75"/>
      <c r="K296" s="75">
        <f t="shared" si="93"/>
        <v>1</v>
      </c>
      <c r="L296" s="76">
        <f t="shared" si="94"/>
        <v>44.58</v>
      </c>
      <c r="M296" s="76">
        <f t="shared" si="95"/>
        <v>0</v>
      </c>
      <c r="N296" s="76">
        <f t="shared" si="96"/>
        <v>0</v>
      </c>
      <c r="O296" s="76">
        <f t="shared" si="97"/>
        <v>56.88</v>
      </c>
      <c r="P296" s="76"/>
      <c r="Q296" s="51"/>
      <c r="T296" s="53">
        <v>44.58</v>
      </c>
    </row>
    <row r="297" spans="1:20" s="56" customFormat="1" ht="12" x14ac:dyDescent="0.2">
      <c r="A297" s="73" t="s">
        <v>584</v>
      </c>
      <c r="B297" s="73" t="s">
        <v>585</v>
      </c>
      <c r="C297" s="74" t="s">
        <v>586</v>
      </c>
      <c r="D297" s="73" t="s">
        <v>102</v>
      </c>
      <c r="E297" s="75">
        <v>9</v>
      </c>
      <c r="F297" s="75">
        <f t="shared" si="90"/>
        <v>95.78</v>
      </c>
      <c r="G297" s="75">
        <f t="shared" si="91"/>
        <v>122.21</v>
      </c>
      <c r="H297" s="76">
        <f t="shared" si="92"/>
        <v>1099.8900000000001</v>
      </c>
      <c r="I297" s="75"/>
      <c r="J297" s="75"/>
      <c r="K297" s="75">
        <f t="shared" si="93"/>
        <v>9</v>
      </c>
      <c r="L297" s="76">
        <f t="shared" si="94"/>
        <v>862.02</v>
      </c>
      <c r="M297" s="76">
        <f t="shared" si="95"/>
        <v>0</v>
      </c>
      <c r="N297" s="76">
        <f t="shared" si="96"/>
        <v>0</v>
      </c>
      <c r="O297" s="76">
        <f t="shared" si="97"/>
        <v>1099.8900000000001</v>
      </c>
      <c r="P297" s="76"/>
      <c r="Q297" s="51"/>
      <c r="T297" s="53">
        <v>95.78</v>
      </c>
    </row>
    <row r="298" spans="1:20" s="56" customFormat="1" ht="12" x14ac:dyDescent="0.2">
      <c r="A298" s="73" t="s">
        <v>78</v>
      </c>
      <c r="B298" s="73" t="s">
        <v>587</v>
      </c>
      <c r="C298" s="74" t="s">
        <v>588</v>
      </c>
      <c r="D298" s="73" t="s">
        <v>102</v>
      </c>
      <c r="E298" s="75">
        <v>1</v>
      </c>
      <c r="F298" s="75">
        <f t="shared" si="90"/>
        <v>1067.05</v>
      </c>
      <c r="G298" s="75">
        <f t="shared" si="91"/>
        <v>1361.45</v>
      </c>
      <c r="H298" s="76">
        <f t="shared" si="92"/>
        <v>1361.45</v>
      </c>
      <c r="I298" s="75"/>
      <c r="J298" s="75"/>
      <c r="K298" s="75">
        <f t="shared" si="93"/>
        <v>1</v>
      </c>
      <c r="L298" s="76">
        <f t="shared" si="94"/>
        <v>1067.05</v>
      </c>
      <c r="M298" s="76">
        <f t="shared" si="95"/>
        <v>0</v>
      </c>
      <c r="N298" s="76">
        <f t="shared" si="96"/>
        <v>0</v>
      </c>
      <c r="O298" s="76">
        <f t="shared" si="97"/>
        <v>1361.45</v>
      </c>
      <c r="P298" s="76"/>
      <c r="Q298" s="51"/>
      <c r="T298" s="51">
        <v>1067.05</v>
      </c>
    </row>
    <row r="299" spans="1:20" s="56" customFormat="1" ht="12" x14ac:dyDescent="0.2">
      <c r="A299" s="73" t="s">
        <v>308</v>
      </c>
      <c r="B299" s="73" t="s">
        <v>589</v>
      </c>
      <c r="C299" s="74" t="s">
        <v>590</v>
      </c>
      <c r="D299" s="73" t="s">
        <v>102</v>
      </c>
      <c r="E299" s="75">
        <v>9</v>
      </c>
      <c r="F299" s="75">
        <f t="shared" si="90"/>
        <v>49.99</v>
      </c>
      <c r="G299" s="75">
        <f t="shared" si="91"/>
        <v>63.78</v>
      </c>
      <c r="H299" s="76">
        <f t="shared" si="92"/>
        <v>574.02</v>
      </c>
      <c r="I299" s="75"/>
      <c r="J299" s="75"/>
      <c r="K299" s="75">
        <f t="shared" si="93"/>
        <v>9</v>
      </c>
      <c r="L299" s="76">
        <f t="shared" si="94"/>
        <v>449.91</v>
      </c>
      <c r="M299" s="76">
        <f t="shared" si="95"/>
        <v>0</v>
      </c>
      <c r="N299" s="76">
        <f t="shared" si="96"/>
        <v>0</v>
      </c>
      <c r="O299" s="76">
        <f t="shared" si="97"/>
        <v>574.02</v>
      </c>
      <c r="P299" s="76"/>
      <c r="Q299" s="51"/>
      <c r="T299" s="53">
        <v>49.99</v>
      </c>
    </row>
    <row r="300" spans="1:20" s="56" customFormat="1" ht="12" x14ac:dyDescent="0.2">
      <c r="A300" s="73" t="s">
        <v>308</v>
      </c>
      <c r="B300" s="73" t="s">
        <v>591</v>
      </c>
      <c r="C300" s="74" t="s">
        <v>592</v>
      </c>
      <c r="D300" s="73" t="s">
        <v>102</v>
      </c>
      <c r="E300" s="75">
        <v>2</v>
      </c>
      <c r="F300" s="75">
        <f t="shared" si="90"/>
        <v>205.99</v>
      </c>
      <c r="G300" s="75">
        <f t="shared" si="91"/>
        <v>262.82</v>
      </c>
      <c r="H300" s="76">
        <f t="shared" si="92"/>
        <v>525.64</v>
      </c>
      <c r="I300" s="75"/>
      <c r="J300" s="75"/>
      <c r="K300" s="75">
        <f t="shared" si="93"/>
        <v>2</v>
      </c>
      <c r="L300" s="76">
        <f t="shared" si="94"/>
        <v>411.98</v>
      </c>
      <c r="M300" s="76">
        <f t="shared" si="95"/>
        <v>0</v>
      </c>
      <c r="N300" s="76">
        <f t="shared" si="96"/>
        <v>0</v>
      </c>
      <c r="O300" s="76">
        <f t="shared" si="97"/>
        <v>525.64</v>
      </c>
      <c r="P300" s="76"/>
      <c r="Q300" s="51"/>
      <c r="T300" s="53">
        <v>205.99</v>
      </c>
    </row>
    <row r="301" spans="1:20" s="56" customFormat="1" ht="12" x14ac:dyDescent="0.2">
      <c r="A301" s="73" t="s">
        <v>308</v>
      </c>
      <c r="B301" s="73" t="s">
        <v>593</v>
      </c>
      <c r="C301" s="74" t="s">
        <v>594</v>
      </c>
      <c r="D301" s="73" t="s">
        <v>102</v>
      </c>
      <c r="E301" s="75">
        <v>6</v>
      </c>
      <c r="F301" s="75">
        <f t="shared" si="90"/>
        <v>0.17</v>
      </c>
      <c r="G301" s="75">
        <f t="shared" si="91"/>
        <v>0.22</v>
      </c>
      <c r="H301" s="76">
        <f t="shared" si="92"/>
        <v>1.32</v>
      </c>
      <c r="I301" s="75"/>
      <c r="J301" s="75"/>
      <c r="K301" s="75">
        <f t="shared" si="93"/>
        <v>6</v>
      </c>
      <c r="L301" s="76">
        <f t="shared" si="94"/>
        <v>1.02</v>
      </c>
      <c r="M301" s="76">
        <f t="shared" si="95"/>
        <v>0</v>
      </c>
      <c r="N301" s="76">
        <f t="shared" si="96"/>
        <v>0</v>
      </c>
      <c r="O301" s="76">
        <f t="shared" si="97"/>
        <v>1.32</v>
      </c>
      <c r="P301" s="76"/>
      <c r="Q301" s="51"/>
      <c r="T301" s="53">
        <v>0.17</v>
      </c>
    </row>
    <row r="302" spans="1:20" s="56" customFormat="1" ht="12" x14ac:dyDescent="0.2">
      <c r="A302" s="73" t="s">
        <v>308</v>
      </c>
      <c r="B302" s="73" t="s">
        <v>595</v>
      </c>
      <c r="C302" s="74" t="s">
        <v>596</v>
      </c>
      <c r="D302" s="73" t="s">
        <v>102</v>
      </c>
      <c r="E302" s="75">
        <v>13</v>
      </c>
      <c r="F302" s="75">
        <f t="shared" si="90"/>
        <v>0.25</v>
      </c>
      <c r="G302" s="75">
        <f t="shared" si="91"/>
        <v>0.32</v>
      </c>
      <c r="H302" s="76">
        <f t="shared" si="92"/>
        <v>4.16</v>
      </c>
      <c r="I302" s="75"/>
      <c r="J302" s="75"/>
      <c r="K302" s="75">
        <f t="shared" si="93"/>
        <v>13</v>
      </c>
      <c r="L302" s="76">
        <f t="shared" si="94"/>
        <v>3.25</v>
      </c>
      <c r="M302" s="76">
        <f t="shared" si="95"/>
        <v>0</v>
      </c>
      <c r="N302" s="76">
        <f t="shared" si="96"/>
        <v>0</v>
      </c>
      <c r="O302" s="76">
        <f t="shared" si="97"/>
        <v>4.16</v>
      </c>
      <c r="P302" s="76"/>
      <c r="Q302" s="51"/>
      <c r="T302" s="53">
        <v>0.25</v>
      </c>
    </row>
    <row r="303" spans="1:20" s="56" customFormat="1" ht="12" x14ac:dyDescent="0.2">
      <c r="A303" s="73" t="s">
        <v>308</v>
      </c>
      <c r="B303" s="73" t="s">
        <v>597</v>
      </c>
      <c r="C303" s="74" t="s">
        <v>598</v>
      </c>
      <c r="D303" s="73" t="s">
        <v>102</v>
      </c>
      <c r="E303" s="75">
        <v>13</v>
      </c>
      <c r="F303" s="75">
        <f t="shared" si="90"/>
        <v>0.54</v>
      </c>
      <c r="G303" s="75">
        <f t="shared" si="91"/>
        <v>0.69</v>
      </c>
      <c r="H303" s="76">
        <f t="shared" si="92"/>
        <v>8.9700000000000006</v>
      </c>
      <c r="I303" s="75"/>
      <c r="J303" s="75"/>
      <c r="K303" s="75">
        <f t="shared" si="93"/>
        <v>13</v>
      </c>
      <c r="L303" s="76">
        <f t="shared" si="94"/>
        <v>7.02</v>
      </c>
      <c r="M303" s="76">
        <f t="shared" si="95"/>
        <v>0</v>
      </c>
      <c r="N303" s="76">
        <f t="shared" si="96"/>
        <v>0</v>
      </c>
      <c r="O303" s="76">
        <f t="shared" si="97"/>
        <v>8.9700000000000006</v>
      </c>
      <c r="P303" s="76"/>
      <c r="Q303" s="51"/>
      <c r="T303" s="53">
        <v>0.54</v>
      </c>
    </row>
    <row r="304" spans="1:20" s="56" customFormat="1" ht="12" x14ac:dyDescent="0.2">
      <c r="A304" s="73" t="s">
        <v>308</v>
      </c>
      <c r="B304" s="73" t="s">
        <v>599</v>
      </c>
      <c r="C304" s="74" t="s">
        <v>600</v>
      </c>
      <c r="D304" s="73" t="s">
        <v>102</v>
      </c>
      <c r="E304" s="75">
        <v>20</v>
      </c>
      <c r="F304" s="75">
        <f t="shared" si="90"/>
        <v>0.62</v>
      </c>
      <c r="G304" s="75">
        <f t="shared" si="91"/>
        <v>0.79</v>
      </c>
      <c r="H304" s="76">
        <f t="shared" si="92"/>
        <v>15.8</v>
      </c>
      <c r="I304" s="75"/>
      <c r="J304" s="75"/>
      <c r="K304" s="75">
        <f t="shared" si="93"/>
        <v>20</v>
      </c>
      <c r="L304" s="76">
        <f t="shared" si="94"/>
        <v>12.4</v>
      </c>
      <c r="M304" s="76">
        <f t="shared" si="95"/>
        <v>0</v>
      </c>
      <c r="N304" s="76">
        <f t="shared" si="96"/>
        <v>0</v>
      </c>
      <c r="O304" s="76">
        <f t="shared" si="97"/>
        <v>15.8</v>
      </c>
      <c r="P304" s="76"/>
      <c r="Q304" s="51"/>
      <c r="T304" s="53">
        <v>0.62</v>
      </c>
    </row>
    <row r="305" spans="1:20" s="56" customFormat="1" ht="12" x14ac:dyDescent="0.2">
      <c r="A305" s="73" t="s">
        <v>308</v>
      </c>
      <c r="B305" s="73" t="s">
        <v>601</v>
      </c>
      <c r="C305" s="74" t="s">
        <v>602</v>
      </c>
      <c r="D305" s="73" t="s">
        <v>102</v>
      </c>
      <c r="E305" s="75">
        <v>8</v>
      </c>
      <c r="F305" s="75">
        <f t="shared" si="90"/>
        <v>1.95</v>
      </c>
      <c r="G305" s="75">
        <f t="shared" si="91"/>
        <v>2.4900000000000002</v>
      </c>
      <c r="H305" s="76">
        <f t="shared" si="92"/>
        <v>19.920000000000002</v>
      </c>
      <c r="I305" s="75"/>
      <c r="J305" s="75"/>
      <c r="K305" s="75">
        <f t="shared" si="93"/>
        <v>8</v>
      </c>
      <c r="L305" s="76">
        <f t="shared" si="94"/>
        <v>15.6</v>
      </c>
      <c r="M305" s="76">
        <f t="shared" si="95"/>
        <v>0</v>
      </c>
      <c r="N305" s="76">
        <f t="shared" si="96"/>
        <v>0</v>
      </c>
      <c r="O305" s="76">
        <f t="shared" si="97"/>
        <v>19.920000000000002</v>
      </c>
      <c r="P305" s="76"/>
      <c r="Q305" s="51"/>
      <c r="T305" s="53">
        <v>1.95</v>
      </c>
    </row>
    <row r="306" spans="1:20" s="56" customFormat="1" ht="12" x14ac:dyDescent="0.2">
      <c r="A306" s="94">
        <v>95547</v>
      </c>
      <c r="B306" s="73" t="s">
        <v>603</v>
      </c>
      <c r="C306" s="74" t="s">
        <v>604</v>
      </c>
      <c r="D306" s="73" t="s">
        <v>102</v>
      </c>
      <c r="E306" s="75">
        <v>32</v>
      </c>
      <c r="F306" s="75">
        <f t="shared" si="90"/>
        <v>48.53</v>
      </c>
      <c r="G306" s="75">
        <f t="shared" si="91"/>
        <v>61.92</v>
      </c>
      <c r="H306" s="76">
        <f t="shared" si="92"/>
        <v>1981.44</v>
      </c>
      <c r="I306" s="75"/>
      <c r="J306" s="75"/>
      <c r="K306" s="75">
        <f t="shared" si="93"/>
        <v>32</v>
      </c>
      <c r="L306" s="76">
        <f t="shared" si="94"/>
        <v>1552.96</v>
      </c>
      <c r="M306" s="76">
        <f t="shared" si="95"/>
        <v>0</v>
      </c>
      <c r="N306" s="76">
        <f t="shared" si="96"/>
        <v>0</v>
      </c>
      <c r="O306" s="76">
        <f t="shared" si="97"/>
        <v>1981.44</v>
      </c>
      <c r="P306" s="76"/>
      <c r="Q306" s="51"/>
      <c r="T306" s="53">
        <v>48.53</v>
      </c>
    </row>
    <row r="307" spans="1:20" s="56" customFormat="1" ht="12" x14ac:dyDescent="0.2">
      <c r="A307" s="94">
        <v>95542</v>
      </c>
      <c r="B307" s="73" t="s">
        <v>605</v>
      </c>
      <c r="C307" s="74" t="s">
        <v>606</v>
      </c>
      <c r="D307" s="73" t="s">
        <v>102</v>
      </c>
      <c r="E307" s="75">
        <v>30</v>
      </c>
      <c r="F307" s="75">
        <f t="shared" si="90"/>
        <v>16.57</v>
      </c>
      <c r="G307" s="75">
        <f t="shared" si="91"/>
        <v>21.14</v>
      </c>
      <c r="H307" s="76">
        <f t="shared" si="92"/>
        <v>634.20000000000005</v>
      </c>
      <c r="I307" s="75"/>
      <c r="J307" s="75"/>
      <c r="K307" s="75">
        <f t="shared" si="93"/>
        <v>30</v>
      </c>
      <c r="L307" s="76">
        <f t="shared" si="94"/>
        <v>497.1</v>
      </c>
      <c r="M307" s="76">
        <f t="shared" si="95"/>
        <v>0</v>
      </c>
      <c r="N307" s="76">
        <f t="shared" si="96"/>
        <v>0</v>
      </c>
      <c r="O307" s="76">
        <f t="shared" si="97"/>
        <v>634.20000000000005</v>
      </c>
      <c r="P307" s="76"/>
      <c r="Q307" s="51"/>
      <c r="T307" s="53">
        <v>16.57</v>
      </c>
    </row>
    <row r="308" spans="1:20" s="56" customFormat="1" ht="12" x14ac:dyDescent="0.2">
      <c r="A308" s="73" t="s">
        <v>607</v>
      </c>
      <c r="B308" s="73" t="s">
        <v>608</v>
      </c>
      <c r="C308" s="74" t="s">
        <v>609</v>
      </c>
      <c r="D308" s="73" t="s">
        <v>102</v>
      </c>
      <c r="E308" s="75">
        <v>23</v>
      </c>
      <c r="F308" s="75">
        <f t="shared" si="90"/>
        <v>37.58</v>
      </c>
      <c r="G308" s="75">
        <f t="shared" si="91"/>
        <v>47.95</v>
      </c>
      <c r="H308" s="76">
        <f t="shared" si="92"/>
        <v>1102.8499999999999</v>
      </c>
      <c r="I308" s="75"/>
      <c r="J308" s="75"/>
      <c r="K308" s="75">
        <f t="shared" si="93"/>
        <v>23</v>
      </c>
      <c r="L308" s="76">
        <f t="shared" si="94"/>
        <v>864.34</v>
      </c>
      <c r="M308" s="76">
        <f t="shared" si="95"/>
        <v>0</v>
      </c>
      <c r="N308" s="76">
        <f t="shared" si="96"/>
        <v>0</v>
      </c>
      <c r="O308" s="76">
        <f t="shared" si="97"/>
        <v>1102.8499999999999</v>
      </c>
      <c r="P308" s="76"/>
      <c r="Q308" s="51"/>
      <c r="T308" s="53">
        <v>37.58</v>
      </c>
    </row>
    <row r="309" spans="1:20" s="56" customFormat="1" ht="12" x14ac:dyDescent="0.2">
      <c r="A309" s="73" t="s">
        <v>610</v>
      </c>
      <c r="B309" s="73" t="s">
        <v>611</v>
      </c>
      <c r="C309" s="74" t="s">
        <v>612</v>
      </c>
      <c r="D309" s="73" t="s">
        <v>102</v>
      </c>
      <c r="E309" s="75">
        <v>17</v>
      </c>
      <c r="F309" s="75">
        <f t="shared" si="90"/>
        <v>30.88</v>
      </c>
      <c r="G309" s="75">
        <f t="shared" si="91"/>
        <v>39.4</v>
      </c>
      <c r="H309" s="76">
        <f t="shared" si="92"/>
        <v>669.8</v>
      </c>
      <c r="I309" s="75"/>
      <c r="J309" s="75"/>
      <c r="K309" s="75">
        <f t="shared" si="93"/>
        <v>17</v>
      </c>
      <c r="L309" s="76">
        <f t="shared" si="94"/>
        <v>524.96</v>
      </c>
      <c r="M309" s="76">
        <f t="shared" si="95"/>
        <v>0</v>
      </c>
      <c r="N309" s="76">
        <f t="shared" si="96"/>
        <v>0</v>
      </c>
      <c r="O309" s="76">
        <f t="shared" si="97"/>
        <v>669.8</v>
      </c>
      <c r="P309" s="76"/>
      <c r="Q309" s="51"/>
      <c r="T309" s="53">
        <v>30.88</v>
      </c>
    </row>
    <row r="310" spans="1:20" s="56" customFormat="1" ht="12" x14ac:dyDescent="0.2">
      <c r="A310" s="72"/>
      <c r="B310" s="71"/>
      <c r="C310" s="71"/>
      <c r="D310" s="71"/>
      <c r="E310" s="71"/>
      <c r="F310" s="75"/>
      <c r="G310" s="77" t="s">
        <v>613</v>
      </c>
      <c r="H310" s="78">
        <f>SUM(H256:H309)</f>
        <v>54802.05</v>
      </c>
      <c r="I310" s="71"/>
      <c r="J310" s="71"/>
      <c r="K310" s="75"/>
      <c r="L310" s="78">
        <f>SUM(L256:L309)</f>
        <v>42951.439999999995</v>
      </c>
      <c r="M310" s="78">
        <f>SUM(M256:M309)</f>
        <v>0</v>
      </c>
      <c r="N310" s="78">
        <f>SUM(N256:N309)</f>
        <v>0</v>
      </c>
      <c r="O310" s="78">
        <f>SUM(O256:O309)</f>
        <v>54802.05</v>
      </c>
      <c r="P310" s="78"/>
      <c r="Q310" s="60"/>
      <c r="T310" s="59"/>
    </row>
    <row r="311" spans="1:20" s="56" customFormat="1" ht="12" x14ac:dyDescent="0.2">
      <c r="A311" s="72"/>
      <c r="B311" s="70" t="s">
        <v>614</v>
      </c>
      <c r="C311" s="71" t="s">
        <v>615</v>
      </c>
      <c r="D311" s="72"/>
      <c r="E311" s="72"/>
      <c r="F311" s="75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52"/>
      <c r="T311" s="52"/>
    </row>
    <row r="312" spans="1:20" s="56" customFormat="1" ht="24" x14ac:dyDescent="0.2">
      <c r="A312" s="73" t="s">
        <v>78</v>
      </c>
      <c r="B312" s="73" t="s">
        <v>616</v>
      </c>
      <c r="C312" s="74" t="s">
        <v>617</v>
      </c>
      <c r="D312" s="73" t="s">
        <v>102</v>
      </c>
      <c r="E312" s="75">
        <v>2</v>
      </c>
      <c r="F312" s="75">
        <f>ROUND(T312*$T$10,2)</f>
        <v>1100.49</v>
      </c>
      <c r="G312" s="75">
        <f>ROUND(F312*(1+$U$1),2)</f>
        <v>1404.12</v>
      </c>
      <c r="H312" s="76">
        <f>ROUND(E312*G312,2)</f>
        <v>2808.24</v>
      </c>
      <c r="I312" s="75"/>
      <c r="J312" s="75"/>
      <c r="K312" s="75">
        <f>E312-I312</f>
        <v>2</v>
      </c>
      <c r="L312" s="76">
        <f>ROUND(E312*F312,2)</f>
        <v>2200.98</v>
      </c>
      <c r="M312" s="76">
        <f>I312*G312</f>
        <v>0</v>
      </c>
      <c r="N312" s="76">
        <f>J312*G312</f>
        <v>0</v>
      </c>
      <c r="O312" s="76">
        <f>H312-N312</f>
        <v>2808.24</v>
      </c>
      <c r="P312" s="76"/>
      <c r="Q312" s="51"/>
      <c r="T312" s="51">
        <v>1100.49</v>
      </c>
    </row>
    <row r="313" spans="1:20" s="56" customFormat="1" ht="12" x14ac:dyDescent="0.2">
      <c r="A313" s="73" t="s">
        <v>308</v>
      </c>
      <c r="B313" s="73" t="s">
        <v>618</v>
      </c>
      <c r="C313" s="74" t="s">
        <v>619</v>
      </c>
      <c r="D313" s="73" t="s">
        <v>102</v>
      </c>
      <c r="E313" s="75">
        <v>1</v>
      </c>
      <c r="F313" s="75">
        <f>ROUND(T313*$T$10,2)</f>
        <v>33</v>
      </c>
      <c r="G313" s="75">
        <f>ROUND(F313*(1+$U$1),2)</f>
        <v>42.1</v>
      </c>
      <c r="H313" s="76">
        <f>ROUND(E313*G313,2)</f>
        <v>42.1</v>
      </c>
      <c r="I313" s="75"/>
      <c r="J313" s="75"/>
      <c r="K313" s="75">
        <f>E313-I313</f>
        <v>1</v>
      </c>
      <c r="L313" s="76">
        <f>ROUND(E313*F313,2)</f>
        <v>33</v>
      </c>
      <c r="M313" s="76">
        <f>I313*G313</f>
        <v>0</v>
      </c>
      <c r="N313" s="76">
        <f>J313*G313</f>
        <v>0</v>
      </c>
      <c r="O313" s="76">
        <f>H313-N313</f>
        <v>42.1</v>
      </c>
      <c r="P313" s="76"/>
      <c r="Q313" s="51"/>
      <c r="T313" s="53">
        <v>33</v>
      </c>
    </row>
    <row r="314" spans="1:20" s="56" customFormat="1" ht="12" x14ac:dyDescent="0.2">
      <c r="A314" s="73" t="s">
        <v>308</v>
      </c>
      <c r="B314" s="73" t="s">
        <v>620</v>
      </c>
      <c r="C314" s="74" t="s">
        <v>621</v>
      </c>
      <c r="D314" s="73" t="s">
        <v>102</v>
      </c>
      <c r="E314" s="75">
        <v>2</v>
      </c>
      <c r="F314" s="75">
        <f>ROUND(T314*$T$10,2)</f>
        <v>36.5</v>
      </c>
      <c r="G314" s="75">
        <f>ROUND(F314*(1+$U$1),2)</f>
        <v>46.57</v>
      </c>
      <c r="H314" s="76">
        <f>ROUND(E314*G314,2)</f>
        <v>93.14</v>
      </c>
      <c r="I314" s="75"/>
      <c r="J314" s="75"/>
      <c r="K314" s="75">
        <f>E314-I314</f>
        <v>2</v>
      </c>
      <c r="L314" s="76">
        <f>ROUND(E314*F314,2)</f>
        <v>73</v>
      </c>
      <c r="M314" s="76">
        <f>I314*G314</f>
        <v>0</v>
      </c>
      <c r="N314" s="76">
        <f>J314*G314</f>
        <v>0</v>
      </c>
      <c r="O314" s="76">
        <f>H314-N314</f>
        <v>93.14</v>
      </c>
      <c r="P314" s="76"/>
      <c r="Q314" s="51"/>
      <c r="T314" s="53">
        <v>36.5</v>
      </c>
    </row>
    <row r="315" spans="1:20" s="56" customFormat="1" ht="12" x14ac:dyDescent="0.2">
      <c r="A315" s="72"/>
      <c r="B315" s="71"/>
      <c r="C315" s="71"/>
      <c r="D315" s="71"/>
      <c r="E315" s="71"/>
      <c r="F315" s="75"/>
      <c r="G315" s="77" t="s">
        <v>622</v>
      </c>
      <c r="H315" s="78">
        <f>SUM(H312:H314)</f>
        <v>2943.4799999999996</v>
      </c>
      <c r="I315" s="71"/>
      <c r="J315" s="71"/>
      <c r="K315" s="71"/>
      <c r="L315" s="78">
        <f>SUM(L312:L314)</f>
        <v>2306.98</v>
      </c>
      <c r="M315" s="78">
        <f>SUM(M312:M314)</f>
        <v>0</v>
      </c>
      <c r="N315" s="78">
        <f>SUM(N312:N314)</f>
        <v>0</v>
      </c>
      <c r="O315" s="78">
        <f>SUM(O312:O314)</f>
        <v>2943.4799999999996</v>
      </c>
      <c r="P315" s="78"/>
      <c r="Q315" s="60"/>
      <c r="T315" s="59"/>
    </row>
    <row r="316" spans="1:20" s="56" customFormat="1" ht="12" x14ac:dyDescent="0.2">
      <c r="A316" s="72"/>
      <c r="B316" s="70" t="s">
        <v>623</v>
      </c>
      <c r="C316" s="71" t="s">
        <v>624</v>
      </c>
      <c r="D316" s="72"/>
      <c r="E316" s="72"/>
      <c r="F316" s="75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52"/>
      <c r="T316" s="52"/>
    </row>
    <row r="317" spans="1:20" s="56" customFormat="1" ht="12" x14ac:dyDescent="0.2">
      <c r="A317" s="72"/>
      <c r="B317" s="70" t="s">
        <v>625</v>
      </c>
      <c r="C317" s="71" t="s">
        <v>626</v>
      </c>
      <c r="D317" s="72"/>
      <c r="E317" s="72"/>
      <c r="F317" s="75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52"/>
      <c r="T317" s="52"/>
    </row>
    <row r="318" spans="1:20" s="56" customFormat="1" ht="12" x14ac:dyDescent="0.2">
      <c r="A318" s="94">
        <v>92688</v>
      </c>
      <c r="B318" s="80">
        <v>42736</v>
      </c>
      <c r="C318" s="74" t="s">
        <v>627</v>
      </c>
      <c r="D318" s="73" t="s">
        <v>81</v>
      </c>
      <c r="E318" s="75">
        <v>18</v>
      </c>
      <c r="F318" s="75">
        <f>ROUND(T318*$T$10,2)</f>
        <v>25.9</v>
      </c>
      <c r="G318" s="75">
        <f>ROUND(F318*(1+$U$1),2)</f>
        <v>33.049999999999997</v>
      </c>
      <c r="H318" s="76">
        <f>ROUND(E318*G318,2)</f>
        <v>594.9</v>
      </c>
      <c r="I318" s="75"/>
      <c r="J318" s="75"/>
      <c r="K318" s="75">
        <f>E318-I318</f>
        <v>18</v>
      </c>
      <c r="L318" s="76">
        <f>ROUND(E318*F318,2)</f>
        <v>466.2</v>
      </c>
      <c r="M318" s="76">
        <f>I318*G318</f>
        <v>0</v>
      </c>
      <c r="N318" s="76">
        <f>J318*G318</f>
        <v>0</v>
      </c>
      <c r="O318" s="76">
        <f>H318-N318</f>
        <v>594.9</v>
      </c>
      <c r="P318" s="76"/>
      <c r="Q318" s="51"/>
      <c r="T318" s="53">
        <v>25.9</v>
      </c>
    </row>
    <row r="319" spans="1:20" s="56" customFormat="1" ht="12" x14ac:dyDescent="0.2">
      <c r="A319" s="94">
        <v>97535</v>
      </c>
      <c r="B319" s="80">
        <v>42737</v>
      </c>
      <c r="C319" s="74" t="s">
        <v>628</v>
      </c>
      <c r="D319" s="73" t="s">
        <v>81</v>
      </c>
      <c r="E319" s="75">
        <v>24</v>
      </c>
      <c r="F319" s="75">
        <f>ROUND(T319*$T$10,2)</f>
        <v>32.049999999999997</v>
      </c>
      <c r="G319" s="75">
        <f>ROUND(F319*(1+$U$1),2)</f>
        <v>40.89</v>
      </c>
      <c r="H319" s="76">
        <f>ROUND(E319*G319,2)</f>
        <v>981.36</v>
      </c>
      <c r="I319" s="75"/>
      <c r="J319" s="75"/>
      <c r="K319" s="75">
        <f>E319-I319</f>
        <v>24</v>
      </c>
      <c r="L319" s="76">
        <f>ROUND(E319*F319,2)</f>
        <v>769.2</v>
      </c>
      <c r="M319" s="76">
        <f>I319*G319</f>
        <v>0</v>
      </c>
      <c r="N319" s="76">
        <f>J319*G319</f>
        <v>0</v>
      </c>
      <c r="O319" s="76">
        <f>H319-N319</f>
        <v>981.36</v>
      </c>
      <c r="P319" s="76"/>
      <c r="Q319" s="51"/>
      <c r="T319" s="53">
        <v>32.049999999999997</v>
      </c>
    </row>
    <row r="320" spans="1:20" s="56" customFormat="1" ht="12" x14ac:dyDescent="0.2">
      <c r="A320" s="94">
        <v>92653</v>
      </c>
      <c r="B320" s="80">
        <v>42738</v>
      </c>
      <c r="C320" s="74" t="s">
        <v>629</v>
      </c>
      <c r="D320" s="73" t="s">
        <v>81</v>
      </c>
      <c r="E320" s="75">
        <v>36</v>
      </c>
      <c r="F320" s="75">
        <f>ROUND(T320*$T$10,2)</f>
        <v>43.81</v>
      </c>
      <c r="G320" s="75">
        <f>ROUND(F320*(1+$U$1),2)</f>
        <v>55.9</v>
      </c>
      <c r="H320" s="76">
        <f>ROUND(E320*G320,2)</f>
        <v>2012.4</v>
      </c>
      <c r="I320" s="75"/>
      <c r="J320" s="75"/>
      <c r="K320" s="75">
        <f>E320-I320</f>
        <v>36</v>
      </c>
      <c r="L320" s="76">
        <f>ROUND(E320*F320,2)</f>
        <v>1577.16</v>
      </c>
      <c r="M320" s="76">
        <f>I320*G320</f>
        <v>0</v>
      </c>
      <c r="N320" s="76">
        <f>J320*G320</f>
        <v>0</v>
      </c>
      <c r="O320" s="76">
        <f>H320-N320</f>
        <v>2012.4</v>
      </c>
      <c r="P320" s="76"/>
      <c r="Q320" s="51"/>
      <c r="T320" s="53">
        <v>43.81</v>
      </c>
    </row>
    <row r="321" spans="1:20" s="56" customFormat="1" ht="12" x14ac:dyDescent="0.2">
      <c r="A321" s="94">
        <v>92656</v>
      </c>
      <c r="B321" s="80">
        <v>42739</v>
      </c>
      <c r="C321" s="74" t="s">
        <v>630</v>
      </c>
      <c r="D321" s="73" t="s">
        <v>81</v>
      </c>
      <c r="E321" s="75">
        <v>12</v>
      </c>
      <c r="F321" s="75">
        <f>ROUND(T321*$T$10,2)</f>
        <v>79.11</v>
      </c>
      <c r="G321" s="75">
        <f>ROUND(F321*(1+$U$1),2)</f>
        <v>100.94</v>
      </c>
      <c r="H321" s="76">
        <f>ROUND(E321*G321,2)</f>
        <v>1211.28</v>
      </c>
      <c r="I321" s="75"/>
      <c r="J321" s="75"/>
      <c r="K321" s="75">
        <f>E321-I321</f>
        <v>12</v>
      </c>
      <c r="L321" s="76">
        <f>ROUND(E321*F321,2)</f>
        <v>949.32</v>
      </c>
      <c r="M321" s="76">
        <f>I321*G321</f>
        <v>0</v>
      </c>
      <c r="N321" s="76">
        <f>J321*G321</f>
        <v>0</v>
      </c>
      <c r="O321" s="76">
        <f>H321-N321</f>
        <v>1211.28</v>
      </c>
      <c r="P321" s="76"/>
      <c r="Q321" s="51"/>
      <c r="T321" s="53">
        <v>79.11</v>
      </c>
    </row>
    <row r="322" spans="1:20" s="56" customFormat="1" ht="12" x14ac:dyDescent="0.2">
      <c r="A322" s="72"/>
      <c r="B322" s="70" t="s">
        <v>631</v>
      </c>
      <c r="C322" s="71" t="s">
        <v>632</v>
      </c>
      <c r="D322" s="72"/>
      <c r="E322" s="72"/>
      <c r="F322" s="75"/>
      <c r="G322" s="72"/>
      <c r="H322" s="72"/>
      <c r="I322" s="72"/>
      <c r="J322" s="72"/>
      <c r="K322" s="72"/>
      <c r="L322" s="72"/>
      <c r="M322" s="76"/>
      <c r="N322" s="76"/>
      <c r="O322" s="76"/>
      <c r="P322" s="72"/>
      <c r="Q322" s="52"/>
      <c r="T322" s="52"/>
    </row>
    <row r="323" spans="1:20" s="56" customFormat="1" ht="12" x14ac:dyDescent="0.2">
      <c r="A323" s="94">
        <v>92939</v>
      </c>
      <c r="B323" s="80">
        <v>42767</v>
      </c>
      <c r="C323" s="74" t="s">
        <v>633</v>
      </c>
      <c r="D323" s="73" t="s">
        <v>102</v>
      </c>
      <c r="E323" s="75">
        <v>2</v>
      </c>
      <c r="F323" s="75">
        <f>ROUND(T323*$T$10,2)</f>
        <v>17.52</v>
      </c>
      <c r="G323" s="75">
        <f>ROUND(F323*(1+$U$1),2)</f>
        <v>22.35</v>
      </c>
      <c r="H323" s="76">
        <f>ROUND(E323*G323,2)</f>
        <v>44.7</v>
      </c>
      <c r="I323" s="75"/>
      <c r="J323" s="75"/>
      <c r="K323" s="75">
        <f>E323-I323</f>
        <v>2</v>
      </c>
      <c r="L323" s="76">
        <f>ROUND(E323*F323,2)</f>
        <v>35.04</v>
      </c>
      <c r="M323" s="76">
        <f>I323*G323</f>
        <v>0</v>
      </c>
      <c r="N323" s="76">
        <f>J323*G323</f>
        <v>0</v>
      </c>
      <c r="O323" s="76">
        <f>H323-N323</f>
        <v>44.7</v>
      </c>
      <c r="P323" s="76"/>
      <c r="Q323" s="51"/>
      <c r="T323" s="53">
        <v>17.52</v>
      </c>
    </row>
    <row r="324" spans="1:20" s="56" customFormat="1" ht="12" x14ac:dyDescent="0.2">
      <c r="A324" s="72"/>
      <c r="B324" s="70" t="s">
        <v>634</v>
      </c>
      <c r="C324" s="71" t="s">
        <v>635</v>
      </c>
      <c r="D324" s="72"/>
      <c r="E324" s="72"/>
      <c r="F324" s="75"/>
      <c r="G324" s="72"/>
      <c r="H324" s="72"/>
      <c r="I324" s="72"/>
      <c r="J324" s="72"/>
      <c r="K324" s="72"/>
      <c r="L324" s="72"/>
      <c r="M324" s="76"/>
      <c r="N324" s="76"/>
      <c r="O324" s="76"/>
      <c r="P324" s="72"/>
      <c r="Q324" s="52"/>
      <c r="T324" s="52"/>
    </row>
    <row r="325" spans="1:20" s="56" customFormat="1" ht="12" x14ac:dyDescent="0.2">
      <c r="A325" s="94">
        <v>92701</v>
      </c>
      <c r="B325" s="80">
        <v>42795</v>
      </c>
      <c r="C325" s="74" t="s">
        <v>636</v>
      </c>
      <c r="D325" s="73" t="s">
        <v>102</v>
      </c>
      <c r="E325" s="75">
        <v>4</v>
      </c>
      <c r="F325" s="75">
        <f>ROUND(T325*$T$10,2)</f>
        <v>21.04</v>
      </c>
      <c r="G325" s="75">
        <f>ROUND(F325*(1+$U$1),2)</f>
        <v>26.84</v>
      </c>
      <c r="H325" s="76">
        <f>ROUND(E325*G325,2)</f>
        <v>107.36</v>
      </c>
      <c r="I325" s="75"/>
      <c r="J325" s="75"/>
      <c r="K325" s="75">
        <f>E325-I325</f>
        <v>4</v>
      </c>
      <c r="L325" s="76">
        <f>ROUND(E325*F325,2)</f>
        <v>84.16</v>
      </c>
      <c r="M325" s="76">
        <f>I325*G325</f>
        <v>0</v>
      </c>
      <c r="N325" s="76">
        <f>J325*G325</f>
        <v>0</v>
      </c>
      <c r="O325" s="76">
        <f>H325-N325</f>
        <v>107.36</v>
      </c>
      <c r="P325" s="76"/>
      <c r="Q325" s="51"/>
      <c r="T325" s="53">
        <v>21.04</v>
      </c>
    </row>
    <row r="326" spans="1:20" s="56" customFormat="1" ht="12" x14ac:dyDescent="0.2">
      <c r="A326" s="94">
        <v>92674</v>
      </c>
      <c r="B326" s="80">
        <v>42796</v>
      </c>
      <c r="C326" s="74" t="s">
        <v>637</v>
      </c>
      <c r="D326" s="73" t="s">
        <v>102</v>
      </c>
      <c r="E326" s="75">
        <v>4</v>
      </c>
      <c r="F326" s="75">
        <f>ROUND(T326*$T$10,2)</f>
        <v>34.25</v>
      </c>
      <c r="G326" s="75">
        <f>ROUND(F326*(1+$U$1),2)</f>
        <v>43.7</v>
      </c>
      <c r="H326" s="76">
        <f>ROUND(E326*G326,2)</f>
        <v>174.8</v>
      </c>
      <c r="I326" s="75"/>
      <c r="J326" s="75"/>
      <c r="K326" s="75">
        <f>E326-I326</f>
        <v>4</v>
      </c>
      <c r="L326" s="76">
        <f>ROUND(E326*F326,2)</f>
        <v>137</v>
      </c>
      <c r="M326" s="76">
        <f>I326*G326</f>
        <v>0</v>
      </c>
      <c r="N326" s="76">
        <f>J326*G326</f>
        <v>0</v>
      </c>
      <c r="O326" s="76">
        <f>H326-N326</f>
        <v>174.8</v>
      </c>
      <c r="P326" s="76"/>
      <c r="Q326" s="51"/>
      <c r="T326" s="53">
        <v>34.25</v>
      </c>
    </row>
    <row r="327" spans="1:20" s="56" customFormat="1" ht="12" x14ac:dyDescent="0.2">
      <c r="A327" s="94">
        <v>92703</v>
      </c>
      <c r="B327" s="80">
        <v>42797</v>
      </c>
      <c r="C327" s="74" t="s">
        <v>638</v>
      </c>
      <c r="D327" s="73" t="s">
        <v>102</v>
      </c>
      <c r="E327" s="75">
        <v>15</v>
      </c>
      <c r="F327" s="75">
        <f>ROUND(T327*$T$10,2)</f>
        <v>33.51</v>
      </c>
      <c r="G327" s="75">
        <f>ROUND(F327*(1+$U$1),2)</f>
        <v>42.76</v>
      </c>
      <c r="H327" s="76">
        <f>ROUND(E327*G327,2)</f>
        <v>641.4</v>
      </c>
      <c r="I327" s="75"/>
      <c r="J327" s="75"/>
      <c r="K327" s="75">
        <f>E327-I327</f>
        <v>15</v>
      </c>
      <c r="L327" s="76">
        <f>ROUND(E327*F327,2)</f>
        <v>502.65</v>
      </c>
      <c r="M327" s="76">
        <f>I327*G327</f>
        <v>0</v>
      </c>
      <c r="N327" s="76">
        <f>J327*G327</f>
        <v>0</v>
      </c>
      <c r="O327" s="76">
        <f>H327-N327</f>
        <v>641.4</v>
      </c>
      <c r="P327" s="76"/>
      <c r="Q327" s="51"/>
      <c r="T327" s="53">
        <v>33.51</v>
      </c>
    </row>
    <row r="328" spans="1:20" s="56" customFormat="1" ht="12" x14ac:dyDescent="0.2">
      <c r="A328" s="94">
        <v>92680</v>
      </c>
      <c r="B328" s="80">
        <v>42798</v>
      </c>
      <c r="C328" s="74" t="s">
        <v>639</v>
      </c>
      <c r="D328" s="73" t="s">
        <v>102</v>
      </c>
      <c r="E328" s="75">
        <v>8</v>
      </c>
      <c r="F328" s="75">
        <f>ROUND(T328*$T$10,2)</f>
        <v>87.03</v>
      </c>
      <c r="G328" s="75">
        <f>ROUND(F328*(1+$U$1),2)</f>
        <v>111.04</v>
      </c>
      <c r="H328" s="76">
        <f>ROUND(E328*G328,2)</f>
        <v>888.32</v>
      </c>
      <c r="I328" s="75"/>
      <c r="J328" s="75"/>
      <c r="K328" s="75">
        <f>E328-I328</f>
        <v>8</v>
      </c>
      <c r="L328" s="76">
        <f>ROUND(E328*F328,2)</f>
        <v>696.24</v>
      </c>
      <c r="M328" s="76">
        <f>I328*G328</f>
        <v>0</v>
      </c>
      <c r="N328" s="76">
        <f>J328*G328</f>
        <v>0</v>
      </c>
      <c r="O328" s="76">
        <f>H328-N328</f>
        <v>888.32</v>
      </c>
      <c r="P328" s="76"/>
      <c r="Q328" s="51"/>
      <c r="T328" s="53">
        <v>87.03</v>
      </c>
    </row>
    <row r="329" spans="1:20" s="56" customFormat="1" ht="12" x14ac:dyDescent="0.2">
      <c r="A329" s="72"/>
      <c r="B329" s="70" t="s">
        <v>640</v>
      </c>
      <c r="C329" s="71" t="s">
        <v>641</v>
      </c>
      <c r="D329" s="72"/>
      <c r="E329" s="72"/>
      <c r="F329" s="75"/>
      <c r="G329" s="72"/>
      <c r="H329" s="72"/>
      <c r="I329" s="72"/>
      <c r="J329" s="72"/>
      <c r="K329" s="75"/>
      <c r="L329" s="72"/>
      <c r="M329" s="76"/>
      <c r="N329" s="76"/>
      <c r="O329" s="76"/>
      <c r="P329" s="72"/>
      <c r="Q329" s="52"/>
      <c r="T329" s="52"/>
    </row>
    <row r="330" spans="1:20" s="56" customFormat="1" ht="12" x14ac:dyDescent="0.2">
      <c r="A330" s="94">
        <v>92658</v>
      </c>
      <c r="B330" s="80">
        <v>42826</v>
      </c>
      <c r="C330" s="74" t="s">
        <v>642</v>
      </c>
      <c r="D330" s="73" t="s">
        <v>102</v>
      </c>
      <c r="E330" s="75">
        <v>1</v>
      </c>
      <c r="F330" s="75">
        <f>ROUND(T330*$T$10,2)</f>
        <v>17.47</v>
      </c>
      <c r="G330" s="75">
        <f>ROUND(F330*(1+$U$1),2)</f>
        <v>22.29</v>
      </c>
      <c r="H330" s="76">
        <f>ROUND(E330*G330,2)</f>
        <v>22.29</v>
      </c>
      <c r="I330" s="75"/>
      <c r="J330" s="75"/>
      <c r="K330" s="75">
        <f>E330-I330</f>
        <v>1</v>
      </c>
      <c r="L330" s="76">
        <f>ROUND(E330*F330,2)</f>
        <v>17.47</v>
      </c>
      <c r="M330" s="76">
        <f>I330*G330</f>
        <v>0</v>
      </c>
      <c r="N330" s="76">
        <f>J330*G330</f>
        <v>0</v>
      </c>
      <c r="O330" s="76">
        <f>H330-N330</f>
        <v>22.29</v>
      </c>
      <c r="P330" s="76"/>
      <c r="Q330" s="51"/>
      <c r="T330" s="53">
        <v>17.47</v>
      </c>
    </row>
    <row r="331" spans="1:20" s="56" customFormat="1" ht="12" x14ac:dyDescent="0.2">
      <c r="A331" s="94">
        <v>92662</v>
      </c>
      <c r="B331" s="80">
        <v>42827</v>
      </c>
      <c r="C331" s="74" t="s">
        <v>643</v>
      </c>
      <c r="D331" s="73" t="s">
        <v>102</v>
      </c>
      <c r="E331" s="75">
        <v>1</v>
      </c>
      <c r="F331" s="75">
        <f>ROUND(T331*$T$10,2)</f>
        <v>23.58</v>
      </c>
      <c r="G331" s="75">
        <f>ROUND(F331*(1+$U$1),2)</f>
        <v>30.09</v>
      </c>
      <c r="H331" s="76">
        <f>ROUND(E331*G331,2)</f>
        <v>30.09</v>
      </c>
      <c r="I331" s="75"/>
      <c r="J331" s="75"/>
      <c r="K331" s="75">
        <f>E331-I331</f>
        <v>1</v>
      </c>
      <c r="L331" s="76">
        <f>ROUND(E331*F331,2)</f>
        <v>23.58</v>
      </c>
      <c r="M331" s="76">
        <f>I331*G331</f>
        <v>0</v>
      </c>
      <c r="N331" s="76">
        <f>J331*G331</f>
        <v>0</v>
      </c>
      <c r="O331" s="76">
        <f>H331-N331</f>
        <v>30.09</v>
      </c>
      <c r="P331" s="76"/>
      <c r="Q331" s="51"/>
      <c r="T331" s="53">
        <v>23.58</v>
      </c>
    </row>
    <row r="332" spans="1:20" s="56" customFormat="1" ht="12" x14ac:dyDescent="0.2">
      <c r="A332" s="72"/>
      <c r="B332" s="70" t="s">
        <v>644</v>
      </c>
      <c r="C332" s="71" t="s">
        <v>450</v>
      </c>
      <c r="D332" s="72"/>
      <c r="E332" s="72"/>
      <c r="F332" s="75"/>
      <c r="G332" s="72"/>
      <c r="H332" s="72"/>
      <c r="I332" s="72"/>
      <c r="J332" s="72"/>
      <c r="K332" s="75"/>
      <c r="L332" s="72"/>
      <c r="M332" s="76"/>
      <c r="N332" s="76"/>
      <c r="O332" s="76"/>
      <c r="P332" s="72"/>
      <c r="Q332" s="52"/>
      <c r="T332" s="52"/>
    </row>
    <row r="333" spans="1:20" s="56" customFormat="1" ht="12" x14ac:dyDescent="0.2">
      <c r="A333" s="94">
        <v>92683</v>
      </c>
      <c r="B333" s="80">
        <v>42856</v>
      </c>
      <c r="C333" s="74" t="s">
        <v>645</v>
      </c>
      <c r="D333" s="73" t="s">
        <v>102</v>
      </c>
      <c r="E333" s="75">
        <v>1</v>
      </c>
      <c r="F333" s="75">
        <f>ROUND(T333*$T$10,2)</f>
        <v>45.08</v>
      </c>
      <c r="G333" s="75">
        <f>ROUND(F333*(1+$U$1),2)</f>
        <v>57.52</v>
      </c>
      <c r="H333" s="76">
        <f>ROUND(E333*G333,2)</f>
        <v>57.52</v>
      </c>
      <c r="I333" s="75"/>
      <c r="J333" s="75"/>
      <c r="K333" s="75">
        <f>E333-I333</f>
        <v>1</v>
      </c>
      <c r="L333" s="76">
        <f>ROUND(E333*F333,2)</f>
        <v>45.08</v>
      </c>
      <c r="M333" s="76">
        <f>I333*G333</f>
        <v>0</v>
      </c>
      <c r="N333" s="76">
        <f>J333*G333</f>
        <v>0</v>
      </c>
      <c r="O333" s="76">
        <f>H333-N333</f>
        <v>57.52</v>
      </c>
      <c r="P333" s="76"/>
      <c r="Q333" s="51"/>
      <c r="T333" s="53">
        <v>45.08</v>
      </c>
    </row>
    <row r="334" spans="1:20" s="56" customFormat="1" ht="12" x14ac:dyDescent="0.2">
      <c r="A334" s="94">
        <v>92681</v>
      </c>
      <c r="B334" s="80">
        <v>42857</v>
      </c>
      <c r="C334" s="74" t="s">
        <v>646</v>
      </c>
      <c r="D334" s="73" t="s">
        <v>102</v>
      </c>
      <c r="E334" s="75">
        <v>2</v>
      </c>
      <c r="F334" s="75">
        <f>ROUND(T334*$T$10,2)</f>
        <v>32.270000000000003</v>
      </c>
      <c r="G334" s="75">
        <f>ROUND(F334*(1+$U$1),2)</f>
        <v>41.17</v>
      </c>
      <c r="H334" s="76">
        <f>ROUND(E334*G334,2)</f>
        <v>82.34</v>
      </c>
      <c r="I334" s="75"/>
      <c r="J334" s="75"/>
      <c r="K334" s="75">
        <f>E334-I334</f>
        <v>2</v>
      </c>
      <c r="L334" s="76">
        <f>ROUND(E334*F334,2)</f>
        <v>64.540000000000006</v>
      </c>
      <c r="M334" s="76">
        <f>I334*G334</f>
        <v>0</v>
      </c>
      <c r="N334" s="76">
        <f>J334*G334</f>
        <v>0</v>
      </c>
      <c r="O334" s="76">
        <f>H334-N334</f>
        <v>82.34</v>
      </c>
      <c r="P334" s="76"/>
      <c r="Q334" s="51"/>
      <c r="T334" s="53">
        <v>32.270000000000003</v>
      </c>
    </row>
    <row r="335" spans="1:20" s="56" customFormat="1" ht="12" x14ac:dyDescent="0.2">
      <c r="A335" s="73" t="s">
        <v>78</v>
      </c>
      <c r="B335" s="80">
        <v>42858</v>
      </c>
      <c r="C335" s="74" t="s">
        <v>647</v>
      </c>
      <c r="D335" s="73" t="s">
        <v>102</v>
      </c>
      <c r="E335" s="75">
        <v>1</v>
      </c>
      <c r="F335" s="75">
        <f>ROUND(T335*$T$10,2)</f>
        <v>32.92</v>
      </c>
      <c r="G335" s="75">
        <f>ROUND(F335*(1+$U$1),2)</f>
        <v>42</v>
      </c>
      <c r="H335" s="76">
        <f>ROUND(E335*G335,2)</f>
        <v>42</v>
      </c>
      <c r="I335" s="75"/>
      <c r="J335" s="75"/>
      <c r="K335" s="75">
        <f>E335-I335</f>
        <v>1</v>
      </c>
      <c r="L335" s="76">
        <f>ROUND(E335*F335,2)</f>
        <v>32.92</v>
      </c>
      <c r="M335" s="76">
        <f>I335*G335</f>
        <v>0</v>
      </c>
      <c r="N335" s="76">
        <f>J335*G335</f>
        <v>0</v>
      </c>
      <c r="O335" s="76">
        <f>H335-N335</f>
        <v>42</v>
      </c>
      <c r="P335" s="76"/>
      <c r="Q335" s="51"/>
      <c r="T335" s="53">
        <v>32.92</v>
      </c>
    </row>
    <row r="336" spans="1:20" s="56" customFormat="1" ht="12" x14ac:dyDescent="0.2">
      <c r="A336" s="72"/>
      <c r="B336" s="70" t="s">
        <v>648</v>
      </c>
      <c r="C336" s="71" t="s">
        <v>473</v>
      </c>
      <c r="D336" s="72"/>
      <c r="E336" s="72"/>
      <c r="F336" s="75"/>
      <c r="G336" s="72"/>
      <c r="H336" s="72"/>
      <c r="I336" s="72"/>
      <c r="J336" s="72"/>
      <c r="K336" s="75"/>
      <c r="L336" s="72"/>
      <c r="M336" s="76"/>
      <c r="N336" s="76"/>
      <c r="O336" s="76"/>
      <c r="P336" s="72"/>
      <c r="Q336" s="52"/>
      <c r="T336" s="52"/>
    </row>
    <row r="337" spans="1:20" s="56" customFormat="1" ht="12" x14ac:dyDescent="0.2">
      <c r="A337" s="94">
        <v>92898</v>
      </c>
      <c r="B337" s="80">
        <v>42887</v>
      </c>
      <c r="C337" s="74" t="s">
        <v>649</v>
      </c>
      <c r="D337" s="73" t="s">
        <v>102</v>
      </c>
      <c r="E337" s="75">
        <v>4</v>
      </c>
      <c r="F337" s="75">
        <f>ROUND(T337*$T$10,2)</f>
        <v>27.29</v>
      </c>
      <c r="G337" s="75">
        <f>ROUND(F337*(1+$U$1),2)</f>
        <v>34.82</v>
      </c>
      <c r="H337" s="76">
        <f>ROUND(E337*G337,2)</f>
        <v>139.28</v>
      </c>
      <c r="I337" s="75"/>
      <c r="J337" s="75"/>
      <c r="K337" s="75">
        <f>E337-I337</f>
        <v>4</v>
      </c>
      <c r="L337" s="76">
        <f>ROUND(E337*F337,2)</f>
        <v>109.16</v>
      </c>
      <c r="M337" s="76">
        <f>I337*G337</f>
        <v>0</v>
      </c>
      <c r="N337" s="76">
        <f>J337*G337</f>
        <v>0</v>
      </c>
      <c r="O337" s="76">
        <f>H337-N337</f>
        <v>139.28</v>
      </c>
      <c r="P337" s="76"/>
      <c r="Q337" s="51"/>
      <c r="T337" s="53">
        <v>27.29</v>
      </c>
    </row>
    <row r="338" spans="1:20" s="56" customFormat="1" ht="12" x14ac:dyDescent="0.2">
      <c r="A338" s="94">
        <v>92900</v>
      </c>
      <c r="B338" s="80">
        <v>42888</v>
      </c>
      <c r="C338" s="74" t="s">
        <v>650</v>
      </c>
      <c r="D338" s="73" t="s">
        <v>102</v>
      </c>
      <c r="E338" s="75">
        <v>2</v>
      </c>
      <c r="F338" s="75">
        <f>ROUND(T338*$T$10,2)</f>
        <v>46.5</v>
      </c>
      <c r="G338" s="75">
        <f>ROUND(F338*(1+$U$1),2)</f>
        <v>59.33</v>
      </c>
      <c r="H338" s="76">
        <f>ROUND(E338*G338,2)</f>
        <v>118.66</v>
      </c>
      <c r="I338" s="75"/>
      <c r="J338" s="75"/>
      <c r="K338" s="75">
        <f>E338-I338</f>
        <v>2</v>
      </c>
      <c r="L338" s="76">
        <f>ROUND(E338*F338,2)</f>
        <v>93</v>
      </c>
      <c r="M338" s="76">
        <f>I338*G338</f>
        <v>0</v>
      </c>
      <c r="N338" s="76">
        <f>J338*G338</f>
        <v>0</v>
      </c>
      <c r="O338" s="76">
        <f>H338-N338</f>
        <v>118.66</v>
      </c>
      <c r="P338" s="76"/>
      <c r="Q338" s="51"/>
      <c r="T338" s="53">
        <v>46.5</v>
      </c>
    </row>
    <row r="339" spans="1:20" s="56" customFormat="1" ht="12" x14ac:dyDescent="0.2">
      <c r="A339" s="72"/>
      <c r="B339" s="70" t="s">
        <v>651</v>
      </c>
      <c r="C339" s="71" t="s">
        <v>652</v>
      </c>
      <c r="D339" s="72"/>
      <c r="E339" s="72"/>
      <c r="F339" s="75"/>
      <c r="G339" s="72"/>
      <c r="H339" s="72"/>
      <c r="I339" s="72"/>
      <c r="J339" s="72"/>
      <c r="K339" s="75"/>
      <c r="L339" s="72"/>
      <c r="M339" s="76"/>
      <c r="N339" s="76"/>
      <c r="O339" s="76"/>
      <c r="P339" s="72"/>
      <c r="Q339" s="52"/>
      <c r="T339" s="52"/>
    </row>
    <row r="340" spans="1:20" s="56" customFormat="1" ht="12" x14ac:dyDescent="0.2">
      <c r="A340" s="73" t="s">
        <v>78</v>
      </c>
      <c r="B340" s="80">
        <v>42917</v>
      </c>
      <c r="C340" s="74" t="s">
        <v>653</v>
      </c>
      <c r="D340" s="73" t="s">
        <v>102</v>
      </c>
      <c r="E340" s="75">
        <v>2</v>
      </c>
      <c r="F340" s="75">
        <f>ROUND(T340*$T$10,2)</f>
        <v>20.03</v>
      </c>
      <c r="G340" s="75">
        <f>ROUND(F340*(1+$U$1),2)</f>
        <v>25.56</v>
      </c>
      <c r="H340" s="76">
        <f>ROUND(E340*G340,2)</f>
        <v>51.12</v>
      </c>
      <c r="I340" s="75"/>
      <c r="J340" s="75"/>
      <c r="K340" s="75">
        <f>E340-I340</f>
        <v>2</v>
      </c>
      <c r="L340" s="76">
        <f>ROUND(E340*F340,2)</f>
        <v>40.06</v>
      </c>
      <c r="M340" s="76">
        <f>I340*G340</f>
        <v>0</v>
      </c>
      <c r="N340" s="76">
        <f>J340*G340</f>
        <v>0</v>
      </c>
      <c r="O340" s="76">
        <f>H340-N340</f>
        <v>51.12</v>
      </c>
      <c r="P340" s="76"/>
      <c r="Q340" s="51"/>
      <c r="T340" s="53">
        <v>20.03</v>
      </c>
    </row>
    <row r="341" spans="1:20" s="56" customFormat="1" ht="12" x14ac:dyDescent="0.2">
      <c r="A341" s="72"/>
      <c r="B341" s="71"/>
      <c r="C341" s="71"/>
      <c r="D341" s="71"/>
      <c r="E341" s="71"/>
      <c r="F341" s="75"/>
      <c r="G341" s="77" t="s">
        <v>654</v>
      </c>
      <c r="H341" s="78">
        <f>SUM(H318:H340)</f>
        <v>7199.8199999999988</v>
      </c>
      <c r="I341" s="71"/>
      <c r="J341" s="71"/>
      <c r="K341" s="71"/>
      <c r="L341" s="78">
        <f>SUM(L318:L340)</f>
        <v>5642.7800000000007</v>
      </c>
      <c r="M341" s="78">
        <f>SUM(M318:M340)</f>
        <v>0</v>
      </c>
      <c r="N341" s="78">
        <f>SUM(N318:N340)</f>
        <v>0</v>
      </c>
      <c r="O341" s="78">
        <f>SUM(O318:O340)</f>
        <v>7199.8199999999988</v>
      </c>
      <c r="P341" s="78"/>
      <c r="Q341" s="60"/>
      <c r="T341" s="59"/>
    </row>
    <row r="342" spans="1:20" s="56" customFormat="1" ht="12" x14ac:dyDescent="0.2">
      <c r="A342" s="72"/>
      <c r="B342" s="69"/>
      <c r="C342" s="82"/>
      <c r="D342" s="72"/>
      <c r="E342" s="72"/>
      <c r="F342" s="75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52"/>
      <c r="T342" s="52"/>
    </row>
    <row r="343" spans="1:20" s="56" customFormat="1" ht="12" x14ac:dyDescent="0.2">
      <c r="A343" s="72"/>
      <c r="B343" s="70" t="s">
        <v>655</v>
      </c>
      <c r="C343" s="71" t="s">
        <v>656</v>
      </c>
      <c r="D343" s="72"/>
      <c r="E343" s="72"/>
      <c r="F343" s="75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52"/>
      <c r="T343" s="52"/>
    </row>
    <row r="344" spans="1:20" s="56" customFormat="1" ht="12" x14ac:dyDescent="0.2">
      <c r="A344" s="72"/>
      <c r="B344" s="70" t="s">
        <v>657</v>
      </c>
      <c r="C344" s="71" t="s">
        <v>626</v>
      </c>
      <c r="D344" s="72"/>
      <c r="E344" s="72"/>
      <c r="F344" s="75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52"/>
      <c r="T344" s="52"/>
    </row>
    <row r="345" spans="1:20" s="56" customFormat="1" ht="24" x14ac:dyDescent="0.2">
      <c r="A345" s="73" t="s">
        <v>78</v>
      </c>
      <c r="B345" s="80">
        <v>43101</v>
      </c>
      <c r="C345" s="74" t="s">
        <v>658</v>
      </c>
      <c r="D345" s="73" t="s">
        <v>81</v>
      </c>
      <c r="E345" s="75">
        <v>15.5</v>
      </c>
      <c r="F345" s="75">
        <f t="shared" ref="F345:F350" si="98">ROUND(T345*$T$10,2)</f>
        <v>15.13</v>
      </c>
      <c r="G345" s="75">
        <f t="shared" ref="G345:G350" si="99">ROUND(F345*(1+$U$1),2)</f>
        <v>19.3</v>
      </c>
      <c r="H345" s="76">
        <f t="shared" ref="H345:H350" si="100">ROUND(E345*G345,2)</f>
        <v>299.14999999999998</v>
      </c>
      <c r="I345" s="75"/>
      <c r="J345" s="75"/>
      <c r="K345" s="75">
        <f t="shared" ref="K345:K350" si="101">E345-I345</f>
        <v>15.5</v>
      </c>
      <c r="L345" s="76">
        <f t="shared" ref="L345:L350" si="102">ROUND(E345*F345,2)</f>
        <v>234.52</v>
      </c>
      <c r="M345" s="76">
        <f t="shared" ref="M345:M350" si="103">I345*G345</f>
        <v>0</v>
      </c>
      <c r="N345" s="76">
        <f t="shared" ref="N345:N350" si="104">J345*G345</f>
        <v>0</v>
      </c>
      <c r="O345" s="76">
        <f t="shared" ref="O345:O350" si="105">H345-N345</f>
        <v>299.14999999999998</v>
      </c>
      <c r="P345" s="76"/>
      <c r="Q345" s="51"/>
      <c r="T345" s="53">
        <v>15.13</v>
      </c>
    </row>
    <row r="346" spans="1:20" s="56" customFormat="1" ht="24" x14ac:dyDescent="0.2">
      <c r="A346" s="73" t="s">
        <v>78</v>
      </c>
      <c r="B346" s="80">
        <v>43102</v>
      </c>
      <c r="C346" s="74" t="s">
        <v>659</v>
      </c>
      <c r="D346" s="73" t="s">
        <v>81</v>
      </c>
      <c r="E346" s="75">
        <v>127.6</v>
      </c>
      <c r="F346" s="75">
        <f t="shared" si="98"/>
        <v>29.08</v>
      </c>
      <c r="G346" s="75">
        <f t="shared" si="99"/>
        <v>37.1</v>
      </c>
      <c r="H346" s="76">
        <f t="shared" si="100"/>
        <v>4733.96</v>
      </c>
      <c r="I346" s="75"/>
      <c r="J346" s="75"/>
      <c r="K346" s="75">
        <f t="shared" si="101"/>
        <v>127.6</v>
      </c>
      <c r="L346" s="76">
        <f t="shared" si="102"/>
        <v>3710.61</v>
      </c>
      <c r="M346" s="76">
        <f t="shared" si="103"/>
        <v>0</v>
      </c>
      <c r="N346" s="76">
        <f t="shared" si="104"/>
        <v>0</v>
      </c>
      <c r="O346" s="76">
        <f t="shared" si="105"/>
        <v>4733.96</v>
      </c>
      <c r="P346" s="76"/>
      <c r="Q346" s="51"/>
      <c r="T346" s="53">
        <v>29.08</v>
      </c>
    </row>
    <row r="347" spans="1:20" s="56" customFormat="1" ht="24" x14ac:dyDescent="0.2">
      <c r="A347" s="73" t="s">
        <v>78</v>
      </c>
      <c r="B347" s="80">
        <v>43103</v>
      </c>
      <c r="C347" s="74" t="s">
        <v>660</v>
      </c>
      <c r="D347" s="73" t="s">
        <v>81</v>
      </c>
      <c r="E347" s="75">
        <v>18</v>
      </c>
      <c r="F347" s="75">
        <f t="shared" si="98"/>
        <v>25.97</v>
      </c>
      <c r="G347" s="75">
        <f t="shared" si="99"/>
        <v>33.14</v>
      </c>
      <c r="H347" s="76">
        <f t="shared" si="100"/>
        <v>596.52</v>
      </c>
      <c r="I347" s="75"/>
      <c r="J347" s="75"/>
      <c r="K347" s="75">
        <f t="shared" si="101"/>
        <v>18</v>
      </c>
      <c r="L347" s="76">
        <f t="shared" si="102"/>
        <v>467.46</v>
      </c>
      <c r="M347" s="76">
        <f t="shared" si="103"/>
        <v>0</v>
      </c>
      <c r="N347" s="76">
        <f t="shared" si="104"/>
        <v>0</v>
      </c>
      <c r="O347" s="76">
        <f t="shared" si="105"/>
        <v>596.52</v>
      </c>
      <c r="P347" s="76"/>
      <c r="Q347" s="51"/>
      <c r="T347" s="53">
        <v>25.97</v>
      </c>
    </row>
    <row r="348" spans="1:20" s="56" customFormat="1" ht="24" x14ac:dyDescent="0.2">
      <c r="A348" s="73" t="s">
        <v>78</v>
      </c>
      <c r="B348" s="80">
        <v>43104</v>
      </c>
      <c r="C348" s="74" t="s">
        <v>661</v>
      </c>
      <c r="D348" s="73" t="s">
        <v>81</v>
      </c>
      <c r="E348" s="75">
        <v>28.7</v>
      </c>
      <c r="F348" s="75">
        <f t="shared" si="98"/>
        <v>39.630000000000003</v>
      </c>
      <c r="G348" s="75">
        <f t="shared" si="99"/>
        <v>50.56</v>
      </c>
      <c r="H348" s="76">
        <f t="shared" si="100"/>
        <v>1451.07</v>
      </c>
      <c r="I348" s="75"/>
      <c r="J348" s="75"/>
      <c r="K348" s="75">
        <f t="shared" si="101"/>
        <v>28.7</v>
      </c>
      <c r="L348" s="76">
        <f t="shared" si="102"/>
        <v>1137.3800000000001</v>
      </c>
      <c r="M348" s="76">
        <f t="shared" si="103"/>
        <v>0</v>
      </c>
      <c r="N348" s="76">
        <f t="shared" si="104"/>
        <v>0</v>
      </c>
      <c r="O348" s="76">
        <f t="shared" si="105"/>
        <v>1451.07</v>
      </c>
      <c r="P348" s="76"/>
      <c r="Q348" s="51"/>
      <c r="T348" s="53">
        <v>39.630000000000003</v>
      </c>
    </row>
    <row r="349" spans="1:20" s="56" customFormat="1" ht="24" x14ac:dyDescent="0.2">
      <c r="A349" s="73" t="s">
        <v>78</v>
      </c>
      <c r="B349" s="80">
        <v>43105</v>
      </c>
      <c r="C349" s="74" t="s">
        <v>662</v>
      </c>
      <c r="D349" s="73" t="s">
        <v>81</v>
      </c>
      <c r="E349" s="75">
        <v>34.9</v>
      </c>
      <c r="F349" s="75">
        <f t="shared" si="98"/>
        <v>65.430000000000007</v>
      </c>
      <c r="G349" s="75">
        <f t="shared" si="99"/>
        <v>83.48</v>
      </c>
      <c r="H349" s="76">
        <f t="shared" si="100"/>
        <v>2913.45</v>
      </c>
      <c r="I349" s="75"/>
      <c r="J349" s="75"/>
      <c r="K349" s="75">
        <f t="shared" si="101"/>
        <v>34.9</v>
      </c>
      <c r="L349" s="76">
        <f t="shared" si="102"/>
        <v>2283.5100000000002</v>
      </c>
      <c r="M349" s="76">
        <f t="shared" si="103"/>
        <v>0</v>
      </c>
      <c r="N349" s="76">
        <f t="shared" si="104"/>
        <v>0</v>
      </c>
      <c r="O349" s="76">
        <f t="shared" si="105"/>
        <v>2913.45</v>
      </c>
      <c r="P349" s="76"/>
      <c r="Q349" s="51"/>
      <c r="T349" s="53">
        <v>65.430000000000007</v>
      </c>
    </row>
    <row r="350" spans="1:20" s="56" customFormat="1" ht="24" x14ac:dyDescent="0.2">
      <c r="A350" s="73" t="s">
        <v>78</v>
      </c>
      <c r="B350" s="80">
        <v>43106</v>
      </c>
      <c r="C350" s="74" t="s">
        <v>663</v>
      </c>
      <c r="D350" s="73" t="s">
        <v>81</v>
      </c>
      <c r="E350" s="75">
        <v>13</v>
      </c>
      <c r="F350" s="75">
        <f t="shared" si="98"/>
        <v>103.37</v>
      </c>
      <c r="G350" s="75">
        <f t="shared" si="99"/>
        <v>131.88999999999999</v>
      </c>
      <c r="H350" s="76">
        <f t="shared" si="100"/>
        <v>1714.57</v>
      </c>
      <c r="I350" s="75"/>
      <c r="J350" s="75"/>
      <c r="K350" s="75">
        <f t="shared" si="101"/>
        <v>13</v>
      </c>
      <c r="L350" s="76">
        <f t="shared" si="102"/>
        <v>1343.81</v>
      </c>
      <c r="M350" s="76">
        <f t="shared" si="103"/>
        <v>0</v>
      </c>
      <c r="N350" s="76">
        <f t="shared" si="104"/>
        <v>0</v>
      </c>
      <c r="O350" s="76">
        <f t="shared" si="105"/>
        <v>1714.57</v>
      </c>
      <c r="P350" s="76"/>
      <c r="Q350" s="51"/>
      <c r="T350" s="53">
        <v>103.37</v>
      </c>
    </row>
    <row r="351" spans="1:20" s="56" customFormat="1" ht="12" x14ac:dyDescent="0.2">
      <c r="A351" s="72"/>
      <c r="B351" s="70" t="s">
        <v>664</v>
      </c>
      <c r="C351" s="71" t="s">
        <v>665</v>
      </c>
      <c r="D351" s="72"/>
      <c r="E351" s="72"/>
      <c r="F351" s="75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52"/>
      <c r="T351" s="52"/>
    </row>
    <row r="352" spans="1:20" s="56" customFormat="1" ht="24" x14ac:dyDescent="0.2">
      <c r="A352" s="94">
        <v>89592</v>
      </c>
      <c r="B352" s="80">
        <v>43132</v>
      </c>
      <c r="C352" s="74" t="s">
        <v>666</v>
      </c>
      <c r="D352" s="73" t="s">
        <v>102</v>
      </c>
      <c r="E352" s="75">
        <v>11</v>
      </c>
      <c r="F352" s="75">
        <f>ROUND(T352*$T$10,2)</f>
        <v>231.71</v>
      </c>
      <c r="G352" s="75">
        <f>ROUND(F352*(1+$U$1),2)</f>
        <v>295.64</v>
      </c>
      <c r="H352" s="76">
        <f>ROUND(E352*G352,2)</f>
        <v>3252.04</v>
      </c>
      <c r="I352" s="75"/>
      <c r="J352" s="75"/>
      <c r="K352" s="75">
        <f>E352-I352</f>
        <v>11</v>
      </c>
      <c r="L352" s="76">
        <f>ROUND(E352*F352,2)</f>
        <v>2548.81</v>
      </c>
      <c r="M352" s="76">
        <f>I352*G352</f>
        <v>0</v>
      </c>
      <c r="N352" s="76">
        <f>J352*G352</f>
        <v>0</v>
      </c>
      <c r="O352" s="76">
        <f>H352-N352</f>
        <v>3252.04</v>
      </c>
      <c r="P352" s="76"/>
      <c r="Q352" s="51"/>
      <c r="T352" s="53">
        <v>231.71</v>
      </c>
    </row>
    <row r="353" spans="1:20" s="56" customFormat="1" ht="24" x14ac:dyDescent="0.2">
      <c r="A353" s="94">
        <v>89587</v>
      </c>
      <c r="B353" s="80">
        <v>43133</v>
      </c>
      <c r="C353" s="74" t="s">
        <v>667</v>
      </c>
      <c r="D353" s="73" t="s">
        <v>102</v>
      </c>
      <c r="E353" s="75">
        <v>1</v>
      </c>
      <c r="F353" s="75">
        <f>ROUND(T353*$T$10,2)</f>
        <v>35.79</v>
      </c>
      <c r="G353" s="75">
        <f>ROUND(F353*(1+$U$1),2)</f>
        <v>45.66</v>
      </c>
      <c r="H353" s="76">
        <f>ROUND(E353*G353,2)</f>
        <v>45.66</v>
      </c>
      <c r="I353" s="75"/>
      <c r="J353" s="75"/>
      <c r="K353" s="75">
        <f>E353-I353</f>
        <v>1</v>
      </c>
      <c r="L353" s="76">
        <f>ROUND(E353*F353,2)</f>
        <v>35.79</v>
      </c>
      <c r="M353" s="76">
        <f>I353*G353</f>
        <v>0</v>
      </c>
      <c r="N353" s="76">
        <f>J353*G353</f>
        <v>0</v>
      </c>
      <c r="O353" s="76">
        <f>H353-N353</f>
        <v>45.66</v>
      </c>
      <c r="P353" s="76"/>
      <c r="Q353" s="51"/>
      <c r="T353" s="53">
        <v>35.79</v>
      </c>
    </row>
    <row r="354" spans="1:20" s="56" customFormat="1" ht="12" x14ac:dyDescent="0.2">
      <c r="A354" s="72"/>
      <c r="B354" s="70" t="s">
        <v>668</v>
      </c>
      <c r="C354" s="71" t="s">
        <v>635</v>
      </c>
      <c r="D354" s="72"/>
      <c r="E354" s="72"/>
      <c r="F354" s="75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52"/>
      <c r="T354" s="52"/>
    </row>
    <row r="355" spans="1:20" s="56" customFormat="1" ht="24" x14ac:dyDescent="0.2">
      <c r="A355" s="94">
        <v>89591</v>
      </c>
      <c r="B355" s="80">
        <v>43160</v>
      </c>
      <c r="C355" s="74" t="s">
        <v>669</v>
      </c>
      <c r="D355" s="73" t="s">
        <v>102</v>
      </c>
      <c r="E355" s="75">
        <v>2</v>
      </c>
      <c r="F355" s="75">
        <f>ROUND(T355*$T$10,2)</f>
        <v>56.03</v>
      </c>
      <c r="G355" s="75">
        <f>ROUND(F355*(1+$U$1),2)</f>
        <v>71.489999999999995</v>
      </c>
      <c r="H355" s="76">
        <f>ROUND(E355*G355,2)</f>
        <v>142.97999999999999</v>
      </c>
      <c r="I355" s="75"/>
      <c r="J355" s="75"/>
      <c r="K355" s="75">
        <f>E355-I355</f>
        <v>2</v>
      </c>
      <c r="L355" s="76">
        <f>ROUND(E355*F355,2)</f>
        <v>112.06</v>
      </c>
      <c r="M355" s="76">
        <f>I355*G355</f>
        <v>0</v>
      </c>
      <c r="N355" s="76">
        <f>J355*G355</f>
        <v>0</v>
      </c>
      <c r="O355" s="76">
        <f>H355-N355</f>
        <v>142.97999999999999</v>
      </c>
      <c r="P355" s="76"/>
      <c r="Q355" s="51"/>
      <c r="T355" s="53">
        <v>56.03</v>
      </c>
    </row>
    <row r="356" spans="1:20" s="56" customFormat="1" ht="24" x14ac:dyDescent="0.2">
      <c r="A356" s="94">
        <v>89590</v>
      </c>
      <c r="B356" s="80">
        <v>43161</v>
      </c>
      <c r="C356" s="74" t="s">
        <v>670</v>
      </c>
      <c r="D356" s="73" t="s">
        <v>102</v>
      </c>
      <c r="E356" s="75">
        <v>2</v>
      </c>
      <c r="F356" s="75">
        <f>ROUND(T356*$T$10,2)</f>
        <v>68.44</v>
      </c>
      <c r="G356" s="75">
        <f>ROUND(F356*(1+$U$1),2)</f>
        <v>87.32</v>
      </c>
      <c r="H356" s="76">
        <f>ROUND(E356*G356,2)</f>
        <v>174.64</v>
      </c>
      <c r="I356" s="75"/>
      <c r="J356" s="75"/>
      <c r="K356" s="75">
        <f>E356-I356</f>
        <v>2</v>
      </c>
      <c r="L356" s="76">
        <f>ROUND(E356*F356,2)</f>
        <v>136.88</v>
      </c>
      <c r="M356" s="76">
        <f>I356*G356</f>
        <v>0</v>
      </c>
      <c r="N356" s="76">
        <f>J356*G356</f>
        <v>0</v>
      </c>
      <c r="O356" s="76">
        <f>H356-N356</f>
        <v>174.64</v>
      </c>
      <c r="P356" s="76"/>
      <c r="Q356" s="51"/>
      <c r="T356" s="53">
        <v>68.44</v>
      </c>
    </row>
    <row r="357" spans="1:20" s="56" customFormat="1" ht="12" x14ac:dyDescent="0.2">
      <c r="A357" s="72"/>
      <c r="B357" s="70" t="s">
        <v>671</v>
      </c>
      <c r="C357" s="71" t="s">
        <v>641</v>
      </c>
      <c r="D357" s="72"/>
      <c r="E357" s="72"/>
      <c r="F357" s="75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52"/>
      <c r="T357" s="52"/>
    </row>
    <row r="358" spans="1:20" s="56" customFormat="1" ht="12" x14ac:dyDescent="0.2">
      <c r="A358" s="94">
        <v>89554</v>
      </c>
      <c r="B358" s="80">
        <v>43191</v>
      </c>
      <c r="C358" s="74" t="s">
        <v>672</v>
      </c>
      <c r="D358" s="73" t="s">
        <v>102</v>
      </c>
      <c r="E358" s="75">
        <v>2</v>
      </c>
      <c r="F358" s="75">
        <f t="shared" ref="F358:F364" si="106">ROUND(T358*$T$10,2)</f>
        <v>12.67</v>
      </c>
      <c r="G358" s="75">
        <f t="shared" ref="G358:G364" si="107">ROUND(F358*(1+$U$1),2)</f>
        <v>16.170000000000002</v>
      </c>
      <c r="H358" s="76">
        <f t="shared" ref="H358:H364" si="108">ROUND(E358*G358,2)</f>
        <v>32.340000000000003</v>
      </c>
      <c r="I358" s="75"/>
      <c r="J358" s="75"/>
      <c r="K358" s="75">
        <f t="shared" ref="K358:K364" si="109">E358-I358</f>
        <v>2</v>
      </c>
      <c r="L358" s="76">
        <f t="shared" ref="L358:L364" si="110">ROUND(E358*F358,2)</f>
        <v>25.34</v>
      </c>
      <c r="M358" s="76">
        <f t="shared" ref="M358:M364" si="111">I358*G358</f>
        <v>0</v>
      </c>
      <c r="N358" s="76">
        <f t="shared" ref="N358:N364" si="112">J358*G358</f>
        <v>0</v>
      </c>
      <c r="O358" s="76">
        <f t="shared" ref="O358:O364" si="113">H358-N358</f>
        <v>32.340000000000003</v>
      </c>
      <c r="P358" s="76"/>
      <c r="Q358" s="51"/>
      <c r="T358" s="53">
        <v>12.67</v>
      </c>
    </row>
    <row r="359" spans="1:20" s="56" customFormat="1" ht="12" x14ac:dyDescent="0.2">
      <c r="A359" s="94">
        <v>89677</v>
      </c>
      <c r="B359" s="80">
        <v>43192</v>
      </c>
      <c r="C359" s="74" t="s">
        <v>673</v>
      </c>
      <c r="D359" s="73" t="s">
        <v>102</v>
      </c>
      <c r="E359" s="75">
        <v>5</v>
      </c>
      <c r="F359" s="75">
        <f t="shared" si="106"/>
        <v>34.049999999999997</v>
      </c>
      <c r="G359" s="75">
        <f t="shared" si="107"/>
        <v>43.44</v>
      </c>
      <c r="H359" s="76">
        <f t="shared" si="108"/>
        <v>217.2</v>
      </c>
      <c r="I359" s="75"/>
      <c r="J359" s="75"/>
      <c r="K359" s="75">
        <f t="shared" si="109"/>
        <v>5</v>
      </c>
      <c r="L359" s="76">
        <f t="shared" si="110"/>
        <v>170.25</v>
      </c>
      <c r="M359" s="76">
        <f t="shared" si="111"/>
        <v>0</v>
      </c>
      <c r="N359" s="76">
        <f t="shared" si="112"/>
        <v>0</v>
      </c>
      <c r="O359" s="76">
        <f t="shared" si="113"/>
        <v>217.2</v>
      </c>
      <c r="P359" s="76"/>
      <c r="Q359" s="51"/>
      <c r="T359" s="53">
        <v>34.049999999999997</v>
      </c>
    </row>
    <row r="360" spans="1:20" s="56" customFormat="1" ht="24" x14ac:dyDescent="0.2">
      <c r="A360" s="94">
        <v>3833</v>
      </c>
      <c r="B360" s="80">
        <v>43193</v>
      </c>
      <c r="C360" s="74" t="s">
        <v>674</v>
      </c>
      <c r="D360" s="73" t="s">
        <v>102</v>
      </c>
      <c r="E360" s="75">
        <v>1</v>
      </c>
      <c r="F360" s="75">
        <f t="shared" si="106"/>
        <v>8.4600000000000009</v>
      </c>
      <c r="G360" s="75">
        <f t="shared" si="107"/>
        <v>10.79</v>
      </c>
      <c r="H360" s="76">
        <f t="shared" si="108"/>
        <v>10.79</v>
      </c>
      <c r="I360" s="75"/>
      <c r="J360" s="75"/>
      <c r="K360" s="75">
        <f t="shared" si="109"/>
        <v>1</v>
      </c>
      <c r="L360" s="76">
        <f t="shared" si="110"/>
        <v>8.4600000000000009</v>
      </c>
      <c r="M360" s="76">
        <f t="shared" si="111"/>
        <v>0</v>
      </c>
      <c r="N360" s="76">
        <f t="shared" si="112"/>
        <v>0</v>
      </c>
      <c r="O360" s="76">
        <f t="shared" si="113"/>
        <v>10.79</v>
      </c>
      <c r="P360" s="76"/>
      <c r="Q360" s="51"/>
      <c r="T360" s="53">
        <v>8.4600000000000009</v>
      </c>
    </row>
    <row r="361" spans="1:20" s="56" customFormat="1" ht="24" x14ac:dyDescent="0.2">
      <c r="A361" s="94">
        <v>3835</v>
      </c>
      <c r="B361" s="80">
        <v>43194</v>
      </c>
      <c r="C361" s="74" t="s">
        <v>675</v>
      </c>
      <c r="D361" s="73" t="s">
        <v>102</v>
      </c>
      <c r="E361" s="75">
        <v>1</v>
      </c>
      <c r="F361" s="75">
        <f t="shared" si="106"/>
        <v>18.989999999999998</v>
      </c>
      <c r="G361" s="75">
        <f t="shared" si="107"/>
        <v>24.23</v>
      </c>
      <c r="H361" s="76">
        <f t="shared" si="108"/>
        <v>24.23</v>
      </c>
      <c r="I361" s="75"/>
      <c r="J361" s="75"/>
      <c r="K361" s="75">
        <f t="shared" si="109"/>
        <v>1</v>
      </c>
      <c r="L361" s="76">
        <f t="shared" si="110"/>
        <v>18.989999999999998</v>
      </c>
      <c r="M361" s="76">
        <f t="shared" si="111"/>
        <v>0</v>
      </c>
      <c r="N361" s="76">
        <f t="shared" si="112"/>
        <v>0</v>
      </c>
      <c r="O361" s="76">
        <f t="shared" si="113"/>
        <v>24.23</v>
      </c>
      <c r="P361" s="76"/>
      <c r="Q361" s="51"/>
      <c r="T361" s="53">
        <v>18.989999999999998</v>
      </c>
    </row>
    <row r="362" spans="1:20" s="56" customFormat="1" ht="24" x14ac:dyDescent="0.2">
      <c r="A362" s="94">
        <v>3836</v>
      </c>
      <c r="B362" s="80">
        <v>43195</v>
      </c>
      <c r="C362" s="74" t="s">
        <v>676</v>
      </c>
      <c r="D362" s="73" t="s">
        <v>102</v>
      </c>
      <c r="E362" s="75">
        <v>3</v>
      </c>
      <c r="F362" s="75">
        <f t="shared" si="106"/>
        <v>49.1</v>
      </c>
      <c r="G362" s="75">
        <f t="shared" si="107"/>
        <v>62.65</v>
      </c>
      <c r="H362" s="76">
        <f t="shared" si="108"/>
        <v>187.95</v>
      </c>
      <c r="I362" s="75"/>
      <c r="J362" s="75"/>
      <c r="K362" s="75">
        <f t="shared" si="109"/>
        <v>3</v>
      </c>
      <c r="L362" s="76">
        <f t="shared" si="110"/>
        <v>147.30000000000001</v>
      </c>
      <c r="M362" s="76">
        <f t="shared" si="111"/>
        <v>0</v>
      </c>
      <c r="N362" s="76">
        <f t="shared" si="112"/>
        <v>0</v>
      </c>
      <c r="O362" s="76">
        <f t="shared" si="113"/>
        <v>187.95</v>
      </c>
      <c r="P362" s="76"/>
      <c r="Q362" s="51"/>
      <c r="T362" s="53">
        <v>49.1</v>
      </c>
    </row>
    <row r="363" spans="1:20" s="56" customFormat="1" ht="24" x14ac:dyDescent="0.2">
      <c r="A363" s="94">
        <v>3830</v>
      </c>
      <c r="B363" s="80">
        <v>43196</v>
      </c>
      <c r="C363" s="74" t="s">
        <v>677</v>
      </c>
      <c r="D363" s="73" t="s">
        <v>102</v>
      </c>
      <c r="E363" s="75">
        <v>2</v>
      </c>
      <c r="F363" s="75">
        <f t="shared" si="106"/>
        <v>80.83</v>
      </c>
      <c r="G363" s="75">
        <f t="shared" si="107"/>
        <v>103.13</v>
      </c>
      <c r="H363" s="76">
        <f t="shared" si="108"/>
        <v>206.26</v>
      </c>
      <c r="I363" s="75"/>
      <c r="J363" s="75"/>
      <c r="K363" s="75">
        <f t="shared" si="109"/>
        <v>2</v>
      </c>
      <c r="L363" s="76">
        <f t="shared" si="110"/>
        <v>161.66</v>
      </c>
      <c r="M363" s="76">
        <f t="shared" si="111"/>
        <v>0</v>
      </c>
      <c r="N363" s="76">
        <f t="shared" si="112"/>
        <v>0</v>
      </c>
      <c r="O363" s="76">
        <f t="shared" si="113"/>
        <v>206.26</v>
      </c>
      <c r="P363" s="76"/>
      <c r="Q363" s="51"/>
      <c r="T363" s="53">
        <v>80.83</v>
      </c>
    </row>
    <row r="364" spans="1:20" s="56" customFormat="1" ht="24" x14ac:dyDescent="0.2">
      <c r="A364" s="94">
        <v>3831</v>
      </c>
      <c r="B364" s="80">
        <v>43197</v>
      </c>
      <c r="C364" s="74" t="s">
        <v>678</v>
      </c>
      <c r="D364" s="73" t="s">
        <v>102</v>
      </c>
      <c r="E364" s="75">
        <v>1</v>
      </c>
      <c r="F364" s="75">
        <f t="shared" si="106"/>
        <v>125.22</v>
      </c>
      <c r="G364" s="75">
        <f t="shared" si="107"/>
        <v>159.77000000000001</v>
      </c>
      <c r="H364" s="76">
        <f t="shared" si="108"/>
        <v>159.77000000000001</v>
      </c>
      <c r="I364" s="75"/>
      <c r="J364" s="75"/>
      <c r="K364" s="75">
        <f t="shared" si="109"/>
        <v>1</v>
      </c>
      <c r="L364" s="76">
        <f t="shared" si="110"/>
        <v>125.22</v>
      </c>
      <c r="M364" s="76">
        <f t="shared" si="111"/>
        <v>0</v>
      </c>
      <c r="N364" s="76">
        <f t="shared" si="112"/>
        <v>0</v>
      </c>
      <c r="O364" s="76">
        <f t="shared" si="113"/>
        <v>159.77000000000001</v>
      </c>
      <c r="P364" s="76"/>
      <c r="Q364" s="51"/>
      <c r="T364" s="53">
        <v>125.22</v>
      </c>
    </row>
    <row r="365" spans="1:20" s="56" customFormat="1" ht="12" x14ac:dyDescent="0.2">
      <c r="A365" s="72"/>
      <c r="B365" s="70" t="s">
        <v>679</v>
      </c>
      <c r="C365" s="71" t="s">
        <v>680</v>
      </c>
      <c r="D365" s="72"/>
      <c r="E365" s="72"/>
      <c r="F365" s="75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52"/>
      <c r="T365" s="52"/>
    </row>
    <row r="366" spans="1:20" s="56" customFormat="1" ht="24" x14ac:dyDescent="0.2">
      <c r="A366" s="94">
        <v>38448</v>
      </c>
      <c r="B366" s="80">
        <v>43221</v>
      </c>
      <c r="C366" s="74" t="s">
        <v>681</v>
      </c>
      <c r="D366" s="73" t="s">
        <v>102</v>
      </c>
      <c r="E366" s="75">
        <v>11</v>
      </c>
      <c r="F366" s="75">
        <f>ROUND(T366*$T$10,2)</f>
        <v>149.65</v>
      </c>
      <c r="G366" s="75">
        <f>ROUND(F366*(1+$U$1),2)</f>
        <v>190.94</v>
      </c>
      <c r="H366" s="76">
        <f>ROUND(E366*G366,2)</f>
        <v>2100.34</v>
      </c>
      <c r="I366" s="75"/>
      <c r="J366" s="75"/>
      <c r="K366" s="75">
        <f>E366-I366</f>
        <v>11</v>
      </c>
      <c r="L366" s="76">
        <f>ROUND(E366*F366,2)</f>
        <v>1646.15</v>
      </c>
      <c r="M366" s="76">
        <f>I366*G366</f>
        <v>0</v>
      </c>
      <c r="N366" s="76">
        <f>J366*G366</f>
        <v>0</v>
      </c>
      <c r="O366" s="76">
        <f>H366-N366</f>
        <v>2100.34</v>
      </c>
      <c r="P366" s="76"/>
      <c r="Q366" s="51"/>
      <c r="T366" s="53">
        <v>149.65</v>
      </c>
    </row>
    <row r="367" spans="1:20" s="56" customFormat="1" ht="24" x14ac:dyDescent="0.2">
      <c r="A367" s="94">
        <v>20183</v>
      </c>
      <c r="B367" s="80">
        <v>43222</v>
      </c>
      <c r="C367" s="74" t="s">
        <v>682</v>
      </c>
      <c r="D367" s="73" t="s">
        <v>102</v>
      </c>
      <c r="E367" s="75">
        <v>1</v>
      </c>
      <c r="F367" s="75">
        <f>ROUND(T367*$T$10,2)</f>
        <v>28.2</v>
      </c>
      <c r="G367" s="75">
        <f>ROUND(F367*(1+$U$1),2)</f>
        <v>35.979999999999997</v>
      </c>
      <c r="H367" s="76">
        <f>ROUND(E367*G367,2)</f>
        <v>35.979999999999997</v>
      </c>
      <c r="I367" s="75"/>
      <c r="J367" s="75"/>
      <c r="K367" s="75">
        <f>E367-I367</f>
        <v>1</v>
      </c>
      <c r="L367" s="76">
        <f>ROUND(E367*F367,2)</f>
        <v>28.2</v>
      </c>
      <c r="M367" s="76">
        <f>I367*G367</f>
        <v>0</v>
      </c>
      <c r="N367" s="76">
        <f>J367*G367</f>
        <v>0</v>
      </c>
      <c r="O367" s="76">
        <f>H367-N367</f>
        <v>35.979999999999997</v>
      </c>
      <c r="P367" s="76"/>
      <c r="Q367" s="51"/>
      <c r="T367" s="53">
        <v>28.2</v>
      </c>
    </row>
    <row r="368" spans="1:20" s="56" customFormat="1" ht="12" x14ac:dyDescent="0.2">
      <c r="A368" s="72"/>
      <c r="B368" s="71"/>
      <c r="C368" s="71"/>
      <c r="D368" s="71"/>
      <c r="E368" s="71"/>
      <c r="F368" s="75"/>
      <c r="G368" s="77" t="s">
        <v>683</v>
      </c>
      <c r="H368" s="78">
        <f>SUM(H345:H367)</f>
        <v>18298.899999999998</v>
      </c>
      <c r="I368" s="71"/>
      <c r="J368" s="71"/>
      <c r="K368" s="71"/>
      <c r="L368" s="78">
        <f>SUM(L345:L367)</f>
        <v>14342.399999999998</v>
      </c>
      <c r="M368" s="78">
        <f>SUM(M345:M367)</f>
        <v>0</v>
      </c>
      <c r="N368" s="78">
        <f>SUM(N345:N367)</f>
        <v>0</v>
      </c>
      <c r="O368" s="78">
        <f>SUM(O345:O367)</f>
        <v>18298.899999999998</v>
      </c>
      <c r="P368" s="78"/>
      <c r="Q368" s="60"/>
      <c r="T368" s="59"/>
    </row>
    <row r="369" spans="1:20" s="56" customFormat="1" ht="12" x14ac:dyDescent="0.2">
      <c r="A369" s="72"/>
      <c r="B369" s="83">
        <v>19</v>
      </c>
      <c r="C369" s="71" t="s">
        <v>684</v>
      </c>
      <c r="D369" s="72"/>
      <c r="E369" s="72"/>
      <c r="F369" s="75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52"/>
      <c r="T369" s="52"/>
    </row>
    <row r="370" spans="1:20" s="56" customFormat="1" ht="12" x14ac:dyDescent="0.2">
      <c r="A370" s="72"/>
      <c r="B370" s="70" t="s">
        <v>685</v>
      </c>
      <c r="C370" s="71" t="s">
        <v>686</v>
      </c>
      <c r="D370" s="72"/>
      <c r="E370" s="72"/>
      <c r="F370" s="75"/>
      <c r="G370" s="72"/>
      <c r="H370" s="72"/>
      <c r="I370" s="72"/>
      <c r="J370" s="72"/>
      <c r="K370" s="72"/>
      <c r="L370" s="72"/>
      <c r="M370" s="76"/>
      <c r="N370" s="76"/>
      <c r="O370" s="76"/>
      <c r="P370" s="72"/>
      <c r="Q370" s="52"/>
      <c r="T370" s="52"/>
    </row>
    <row r="371" spans="1:20" s="56" customFormat="1" ht="12" x14ac:dyDescent="0.2">
      <c r="A371" s="73" t="s">
        <v>687</v>
      </c>
      <c r="B371" s="80">
        <v>43466</v>
      </c>
      <c r="C371" s="74" t="s">
        <v>688</v>
      </c>
      <c r="D371" s="73" t="s">
        <v>102</v>
      </c>
      <c r="E371" s="75">
        <v>11</v>
      </c>
      <c r="F371" s="75">
        <f>ROUND(T371*$T$10,2)</f>
        <v>45.06</v>
      </c>
      <c r="G371" s="75">
        <f>ROUND(F371*(1+$U$1),2)</f>
        <v>57.49</v>
      </c>
      <c r="H371" s="76">
        <f>ROUND(E371*G371,2)</f>
        <v>632.39</v>
      </c>
      <c r="I371" s="75"/>
      <c r="J371" s="75"/>
      <c r="K371" s="75">
        <f>E371-I371</f>
        <v>11</v>
      </c>
      <c r="L371" s="76">
        <f>ROUND(E371*F371,2)</f>
        <v>495.66</v>
      </c>
      <c r="M371" s="76">
        <f>I371*G371</f>
        <v>0</v>
      </c>
      <c r="N371" s="76">
        <f>J371*G371</f>
        <v>0</v>
      </c>
      <c r="O371" s="76">
        <f>H371-N371</f>
        <v>632.39</v>
      </c>
      <c r="P371" s="76"/>
      <c r="Q371" s="51"/>
      <c r="T371" s="53">
        <v>45.06</v>
      </c>
    </row>
    <row r="372" spans="1:20" s="56" customFormat="1" ht="12" x14ac:dyDescent="0.2">
      <c r="A372" s="73" t="s">
        <v>689</v>
      </c>
      <c r="B372" s="80">
        <v>43467</v>
      </c>
      <c r="C372" s="74" t="s">
        <v>690</v>
      </c>
      <c r="D372" s="73" t="s">
        <v>102</v>
      </c>
      <c r="E372" s="75">
        <v>1</v>
      </c>
      <c r="F372" s="75">
        <f>ROUND(T372*$T$10,2)</f>
        <v>26.35</v>
      </c>
      <c r="G372" s="75">
        <f>ROUND(F372*(1+$U$1),2)</f>
        <v>33.619999999999997</v>
      </c>
      <c r="H372" s="76">
        <f>ROUND(E372*G372,2)</f>
        <v>33.619999999999997</v>
      </c>
      <c r="I372" s="75"/>
      <c r="J372" s="75"/>
      <c r="K372" s="75">
        <f>E372-I372</f>
        <v>1</v>
      </c>
      <c r="L372" s="76">
        <f>ROUND(E372*F372,2)</f>
        <v>26.35</v>
      </c>
      <c r="M372" s="76">
        <f>I372*G372</f>
        <v>0</v>
      </c>
      <c r="N372" s="76">
        <f>J372*G372</f>
        <v>0</v>
      </c>
      <c r="O372" s="76">
        <f>H372-N372</f>
        <v>33.619999999999997</v>
      </c>
      <c r="P372" s="76"/>
      <c r="Q372" s="51"/>
      <c r="T372" s="53">
        <v>26.35</v>
      </c>
    </row>
    <row r="373" spans="1:20" s="56" customFormat="1" ht="12" x14ac:dyDescent="0.2">
      <c r="A373" s="72"/>
      <c r="B373" s="70" t="s">
        <v>691</v>
      </c>
      <c r="C373" s="71" t="s">
        <v>692</v>
      </c>
      <c r="D373" s="72"/>
      <c r="E373" s="72"/>
      <c r="F373" s="75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52"/>
      <c r="T373" s="52"/>
    </row>
    <row r="374" spans="1:20" s="56" customFormat="1" ht="24" x14ac:dyDescent="0.2">
      <c r="A374" s="73" t="s">
        <v>693</v>
      </c>
      <c r="B374" s="80">
        <v>43497</v>
      </c>
      <c r="C374" s="74" t="s">
        <v>694</v>
      </c>
      <c r="D374" s="73" t="s">
        <v>102</v>
      </c>
      <c r="E374" s="75">
        <v>9</v>
      </c>
      <c r="F374" s="75">
        <f>ROUND(T374*$T$10,2)</f>
        <v>226.16</v>
      </c>
      <c r="G374" s="75">
        <f>ROUND(F374*(1+$U$1),2)</f>
        <v>288.56</v>
      </c>
      <c r="H374" s="76">
        <f>ROUND(E374*G374,2)</f>
        <v>2597.04</v>
      </c>
      <c r="I374" s="75"/>
      <c r="J374" s="75"/>
      <c r="K374" s="75">
        <f>E374-I374</f>
        <v>9</v>
      </c>
      <c r="L374" s="76">
        <f>ROUND(E374*F374,2)</f>
        <v>2035.44</v>
      </c>
      <c r="M374" s="76">
        <f>I374*G374</f>
        <v>0</v>
      </c>
      <c r="N374" s="76">
        <f>J374*G374</f>
        <v>0</v>
      </c>
      <c r="O374" s="76">
        <f>H374-N374</f>
        <v>2597.04</v>
      </c>
      <c r="P374" s="76"/>
      <c r="Q374" s="51"/>
      <c r="T374" s="53">
        <v>226.16</v>
      </c>
    </row>
    <row r="375" spans="1:20" s="56" customFormat="1" ht="12" x14ac:dyDescent="0.2">
      <c r="A375" s="94">
        <v>6171</v>
      </c>
      <c r="B375" s="80">
        <v>43498</v>
      </c>
      <c r="C375" s="74" t="s">
        <v>695</v>
      </c>
      <c r="D375" s="73" t="s">
        <v>102</v>
      </c>
      <c r="E375" s="75">
        <v>9</v>
      </c>
      <c r="F375" s="75">
        <f>ROUND(T375*$T$10,2)</f>
        <v>21.74</v>
      </c>
      <c r="G375" s="75">
        <f>ROUND(F375*(1+$U$1),2)</f>
        <v>27.74</v>
      </c>
      <c r="H375" s="76">
        <f>ROUND(E375*G375,2)</f>
        <v>249.66</v>
      </c>
      <c r="I375" s="75"/>
      <c r="J375" s="75"/>
      <c r="K375" s="75">
        <f>E375-I375</f>
        <v>9</v>
      </c>
      <c r="L375" s="76">
        <f>ROUND(E375*F375,2)</f>
        <v>195.66</v>
      </c>
      <c r="M375" s="76">
        <f>I375*G375</f>
        <v>0</v>
      </c>
      <c r="N375" s="76">
        <f>J375*G375</f>
        <v>0</v>
      </c>
      <c r="O375" s="76">
        <f>H375-N375</f>
        <v>249.66</v>
      </c>
      <c r="P375" s="76"/>
      <c r="Q375" s="51"/>
      <c r="T375" s="53">
        <v>21.74</v>
      </c>
    </row>
    <row r="376" spans="1:20" s="56" customFormat="1" ht="12" x14ac:dyDescent="0.2">
      <c r="A376" s="73" t="s">
        <v>696</v>
      </c>
      <c r="B376" s="80">
        <v>43499</v>
      </c>
      <c r="C376" s="74" t="s">
        <v>697</v>
      </c>
      <c r="D376" s="73" t="s">
        <v>102</v>
      </c>
      <c r="E376" s="75">
        <v>5</v>
      </c>
      <c r="F376" s="75">
        <f>ROUND(T376*$T$10,2)</f>
        <v>165.35</v>
      </c>
      <c r="G376" s="75">
        <f>ROUND(F376*(1+$U$1),2)</f>
        <v>210.97</v>
      </c>
      <c r="H376" s="76">
        <f>ROUND(E376*G376,2)</f>
        <v>1054.8499999999999</v>
      </c>
      <c r="I376" s="75"/>
      <c r="J376" s="75"/>
      <c r="K376" s="75">
        <f>E376-I376</f>
        <v>5</v>
      </c>
      <c r="L376" s="76">
        <f>ROUND(E376*F376,2)</f>
        <v>826.75</v>
      </c>
      <c r="M376" s="76">
        <f>I376*G376</f>
        <v>0</v>
      </c>
      <c r="N376" s="76">
        <f>J376*G376</f>
        <v>0</v>
      </c>
      <c r="O376" s="76">
        <f>H376-N376</f>
        <v>1054.8499999999999</v>
      </c>
      <c r="P376" s="76"/>
      <c r="Q376" s="51"/>
      <c r="T376" s="53">
        <v>165.35</v>
      </c>
    </row>
    <row r="377" spans="1:20" s="56" customFormat="1" ht="12" x14ac:dyDescent="0.2">
      <c r="A377" s="73" t="s">
        <v>698</v>
      </c>
      <c r="B377" s="80">
        <v>43500</v>
      </c>
      <c r="C377" s="74" t="s">
        <v>699</v>
      </c>
      <c r="D377" s="73" t="s">
        <v>102</v>
      </c>
      <c r="E377" s="75">
        <v>5</v>
      </c>
      <c r="F377" s="75">
        <f>ROUND(T377*$T$10,2)</f>
        <v>112.26</v>
      </c>
      <c r="G377" s="75">
        <f>ROUND(F377*(1+$U$1),2)</f>
        <v>143.22999999999999</v>
      </c>
      <c r="H377" s="76">
        <f>ROUND(E377*G377,2)</f>
        <v>716.15</v>
      </c>
      <c r="I377" s="75"/>
      <c r="J377" s="75"/>
      <c r="K377" s="75">
        <f>E377-I377</f>
        <v>5</v>
      </c>
      <c r="L377" s="76">
        <f>ROUND(E377*F377,2)</f>
        <v>561.29999999999995</v>
      </c>
      <c r="M377" s="76">
        <f>I377*G377</f>
        <v>0</v>
      </c>
      <c r="N377" s="76">
        <f>J377*G377</f>
        <v>0</v>
      </c>
      <c r="O377" s="76">
        <f>H377-N377</f>
        <v>716.15</v>
      </c>
      <c r="P377" s="76"/>
      <c r="Q377" s="51"/>
      <c r="T377" s="53">
        <v>112.26</v>
      </c>
    </row>
    <row r="378" spans="1:20" s="56" customFormat="1" ht="12" x14ac:dyDescent="0.2">
      <c r="A378" s="73" t="s">
        <v>700</v>
      </c>
      <c r="B378" s="80">
        <v>43501</v>
      </c>
      <c r="C378" s="74" t="s">
        <v>701</v>
      </c>
      <c r="D378" s="73" t="s">
        <v>102</v>
      </c>
      <c r="E378" s="75">
        <v>2</v>
      </c>
      <c r="F378" s="75">
        <f>ROUND(T378*$T$10,2)</f>
        <v>171</v>
      </c>
      <c r="G378" s="75">
        <f>ROUND(F378*(1+$U$1),2)</f>
        <v>218.18</v>
      </c>
      <c r="H378" s="76">
        <f>ROUND(E378*G378,2)</f>
        <v>436.36</v>
      </c>
      <c r="I378" s="75"/>
      <c r="J378" s="75"/>
      <c r="K378" s="75">
        <f>E378-I378</f>
        <v>2</v>
      </c>
      <c r="L378" s="76">
        <f>ROUND(E378*F378,2)</f>
        <v>342</v>
      </c>
      <c r="M378" s="76">
        <f>I378*G378</f>
        <v>0</v>
      </c>
      <c r="N378" s="76">
        <f>J378*G378</f>
        <v>0</v>
      </c>
      <c r="O378" s="76">
        <f>H378-N378</f>
        <v>436.36</v>
      </c>
      <c r="P378" s="76"/>
      <c r="Q378" s="51"/>
      <c r="T378" s="53">
        <v>171</v>
      </c>
    </row>
    <row r="379" spans="1:20" s="56" customFormat="1" ht="12" x14ac:dyDescent="0.2">
      <c r="A379" s="72"/>
      <c r="B379" s="70" t="s">
        <v>702</v>
      </c>
      <c r="C379" s="71" t="s">
        <v>703</v>
      </c>
      <c r="D379" s="72"/>
      <c r="E379" s="72"/>
      <c r="F379" s="75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52"/>
      <c r="T379" s="52"/>
    </row>
    <row r="380" spans="1:20" s="56" customFormat="1" ht="24" x14ac:dyDescent="0.2">
      <c r="A380" s="73" t="s">
        <v>704</v>
      </c>
      <c r="B380" s="80">
        <v>43525</v>
      </c>
      <c r="C380" s="74" t="s">
        <v>705</v>
      </c>
      <c r="D380" s="73" t="s">
        <v>102</v>
      </c>
      <c r="E380" s="75">
        <v>1</v>
      </c>
      <c r="F380" s="75">
        <f>ROUND(T380*$T$10,2)</f>
        <v>1880.53</v>
      </c>
      <c r="G380" s="75">
        <f>ROUND(F380*(1+$U$1),2)</f>
        <v>2399.37</v>
      </c>
      <c r="H380" s="76">
        <f>ROUND(E380*G380,2)</f>
        <v>2399.37</v>
      </c>
      <c r="I380" s="75"/>
      <c r="J380" s="75"/>
      <c r="K380" s="75">
        <f>E380-I380</f>
        <v>1</v>
      </c>
      <c r="L380" s="76">
        <f>ROUND(E380*F380,2)</f>
        <v>1880.53</v>
      </c>
      <c r="M380" s="76">
        <f>I380*G380</f>
        <v>0</v>
      </c>
      <c r="N380" s="76">
        <f>J380*G380</f>
        <v>0</v>
      </c>
      <c r="O380" s="76">
        <f>H380-N380</f>
        <v>2399.37</v>
      </c>
      <c r="P380" s="76"/>
      <c r="Q380" s="51"/>
      <c r="T380" s="51">
        <v>1880.53</v>
      </c>
    </row>
    <row r="381" spans="1:20" s="56" customFormat="1" ht="12" x14ac:dyDescent="0.2">
      <c r="A381" s="94">
        <v>6171</v>
      </c>
      <c r="B381" s="80">
        <v>43526</v>
      </c>
      <c r="C381" s="74" t="s">
        <v>706</v>
      </c>
      <c r="D381" s="73" t="s">
        <v>102</v>
      </c>
      <c r="E381" s="75">
        <v>1</v>
      </c>
      <c r="F381" s="75">
        <f>ROUND(T381*$T$10,2)</f>
        <v>21.74</v>
      </c>
      <c r="G381" s="75">
        <f>ROUND(F381*(1+$U$1),2)</f>
        <v>27.74</v>
      </c>
      <c r="H381" s="76">
        <f>ROUND(E381*G381,2)</f>
        <v>27.74</v>
      </c>
      <c r="I381" s="75"/>
      <c r="J381" s="75"/>
      <c r="K381" s="75">
        <f>E381-I381</f>
        <v>1</v>
      </c>
      <c r="L381" s="76">
        <f>ROUND(E381*F381,2)</f>
        <v>21.74</v>
      </c>
      <c r="M381" s="76">
        <f>I381*G381</f>
        <v>0</v>
      </c>
      <c r="N381" s="76">
        <f>J381*G381</f>
        <v>0</v>
      </c>
      <c r="O381" s="76">
        <f>H381-N381</f>
        <v>27.74</v>
      </c>
      <c r="P381" s="76"/>
      <c r="Q381" s="51"/>
      <c r="T381" s="53">
        <v>21.74</v>
      </c>
    </row>
    <row r="382" spans="1:20" s="56" customFormat="1" ht="12" x14ac:dyDescent="0.2">
      <c r="A382" s="72"/>
      <c r="B382" s="70" t="s">
        <v>707</v>
      </c>
      <c r="C382" s="71" t="s">
        <v>708</v>
      </c>
      <c r="D382" s="72"/>
      <c r="E382" s="72"/>
      <c r="F382" s="75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52"/>
      <c r="T382" s="52"/>
    </row>
    <row r="383" spans="1:20" s="56" customFormat="1" ht="24" x14ac:dyDescent="0.2">
      <c r="A383" s="94">
        <v>1332</v>
      </c>
      <c r="B383" s="80">
        <v>43556</v>
      </c>
      <c r="C383" s="74" t="s">
        <v>709</v>
      </c>
      <c r="D383" s="73" t="s">
        <v>102</v>
      </c>
      <c r="E383" s="75">
        <v>5</v>
      </c>
      <c r="F383" s="75">
        <f>ROUND(T383*$T$10,2)</f>
        <v>7.59</v>
      </c>
      <c r="G383" s="75">
        <f>ROUND(F383*(1+$U$1),2)</f>
        <v>9.68</v>
      </c>
      <c r="H383" s="76">
        <f>ROUND(E383*G383,2)</f>
        <v>48.4</v>
      </c>
      <c r="I383" s="75"/>
      <c r="J383" s="75"/>
      <c r="K383" s="75">
        <f>E383-I383</f>
        <v>5</v>
      </c>
      <c r="L383" s="76">
        <f>ROUND(E383*F383,2)</f>
        <v>37.950000000000003</v>
      </c>
      <c r="M383" s="76">
        <f>I383*G383</f>
        <v>0</v>
      </c>
      <c r="N383" s="76">
        <f>J383*G383</f>
        <v>0</v>
      </c>
      <c r="O383" s="76">
        <f>H383-N383</f>
        <v>48.4</v>
      </c>
      <c r="P383" s="76"/>
      <c r="Q383" s="51"/>
      <c r="T383" s="53">
        <v>7.59</v>
      </c>
    </row>
    <row r="384" spans="1:20" s="56" customFormat="1" ht="12" x14ac:dyDescent="0.2">
      <c r="A384" s="72"/>
      <c r="B384" s="70" t="s">
        <v>710</v>
      </c>
      <c r="C384" s="71" t="s">
        <v>711</v>
      </c>
      <c r="D384" s="72"/>
      <c r="E384" s="72"/>
      <c r="F384" s="75"/>
      <c r="G384" s="72"/>
      <c r="H384" s="72"/>
      <c r="I384" s="72"/>
      <c r="J384" s="72"/>
      <c r="K384" s="75"/>
      <c r="L384" s="72"/>
      <c r="M384" s="72"/>
      <c r="N384" s="72"/>
      <c r="O384" s="72"/>
      <c r="P384" s="72"/>
      <c r="Q384" s="52"/>
      <c r="T384" s="52"/>
    </row>
    <row r="385" spans="1:20" s="56" customFormat="1" ht="12" x14ac:dyDescent="0.2">
      <c r="A385" s="73" t="s">
        <v>712</v>
      </c>
      <c r="B385" s="80">
        <v>43586</v>
      </c>
      <c r="C385" s="74" t="s">
        <v>713</v>
      </c>
      <c r="D385" s="73" t="s">
        <v>81</v>
      </c>
      <c r="E385" s="75">
        <v>8</v>
      </c>
      <c r="F385" s="75">
        <f>ROUND(T385*$T$10,2)</f>
        <v>267.89</v>
      </c>
      <c r="G385" s="75">
        <f>ROUND(F385*(1+$U$1),2)</f>
        <v>341.8</v>
      </c>
      <c r="H385" s="76">
        <f>ROUND(E385*G385,2)</f>
        <v>2734.4</v>
      </c>
      <c r="I385" s="75"/>
      <c r="J385" s="75"/>
      <c r="K385" s="75">
        <f>E385-I385</f>
        <v>8</v>
      </c>
      <c r="L385" s="76">
        <f>ROUND(E385*F385,2)</f>
        <v>2143.12</v>
      </c>
      <c r="M385" s="76">
        <f>I385*G385</f>
        <v>0</v>
      </c>
      <c r="N385" s="76">
        <f>J385*G385</f>
        <v>0</v>
      </c>
      <c r="O385" s="76">
        <f>H385-N385</f>
        <v>2734.4</v>
      </c>
      <c r="P385" s="76"/>
      <c r="Q385" s="51"/>
      <c r="T385" s="53">
        <v>267.89</v>
      </c>
    </row>
    <row r="386" spans="1:20" s="56" customFormat="1" ht="12" x14ac:dyDescent="0.2">
      <c r="A386" s="73" t="s">
        <v>714</v>
      </c>
      <c r="B386" s="80">
        <v>43587</v>
      </c>
      <c r="C386" s="74" t="s">
        <v>715</v>
      </c>
      <c r="D386" s="73" t="s">
        <v>81</v>
      </c>
      <c r="E386" s="75">
        <v>2</v>
      </c>
      <c r="F386" s="75">
        <f>ROUND(T386*$T$10,2)</f>
        <v>57.59</v>
      </c>
      <c r="G386" s="75">
        <f>ROUND(F386*(1+$U$1),2)</f>
        <v>73.48</v>
      </c>
      <c r="H386" s="76">
        <f>ROUND(E386*G386,2)</f>
        <v>146.96</v>
      </c>
      <c r="I386" s="75"/>
      <c r="J386" s="75"/>
      <c r="K386" s="75">
        <f>E386-I386</f>
        <v>2</v>
      </c>
      <c r="L386" s="76">
        <f>ROUND(E386*F386,2)</f>
        <v>115.18</v>
      </c>
      <c r="M386" s="76">
        <f>I386*G386</f>
        <v>0</v>
      </c>
      <c r="N386" s="76">
        <f>J386*G386</f>
        <v>0</v>
      </c>
      <c r="O386" s="76">
        <f>H386-N386</f>
        <v>146.96</v>
      </c>
      <c r="P386" s="76"/>
      <c r="Q386" s="51"/>
      <c r="T386" s="53">
        <v>57.59</v>
      </c>
    </row>
    <row r="387" spans="1:20" s="56" customFormat="1" ht="12" x14ac:dyDescent="0.2">
      <c r="A387" s="72"/>
      <c r="B387" s="71"/>
      <c r="C387" s="71"/>
      <c r="D387" s="71"/>
      <c r="E387" s="71"/>
      <c r="F387" s="75"/>
      <c r="G387" s="77" t="s">
        <v>716</v>
      </c>
      <c r="H387" s="78">
        <f>SUM(H371:H386)</f>
        <v>11076.939999999997</v>
      </c>
      <c r="I387" s="71"/>
      <c r="J387" s="71"/>
      <c r="K387" s="71"/>
      <c r="L387" s="78">
        <f>SUM(L371:L386)</f>
        <v>8681.68</v>
      </c>
      <c r="M387" s="78">
        <f>SUM(M371:M386)</f>
        <v>0</v>
      </c>
      <c r="N387" s="78">
        <f>SUM(N371:N386)</f>
        <v>0</v>
      </c>
      <c r="O387" s="78">
        <f>SUM(O371:O386)</f>
        <v>11076.939999999997</v>
      </c>
      <c r="P387" s="78"/>
      <c r="Q387" s="60"/>
      <c r="T387" s="59"/>
    </row>
    <row r="388" spans="1:20" s="56" customFormat="1" ht="12" x14ac:dyDescent="0.2">
      <c r="A388" s="72"/>
      <c r="B388" s="70" t="s">
        <v>717</v>
      </c>
      <c r="C388" s="71" t="s">
        <v>718</v>
      </c>
      <c r="D388" s="72"/>
      <c r="E388" s="72"/>
      <c r="F388" s="75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52"/>
      <c r="T388" s="52"/>
    </row>
    <row r="389" spans="1:20" s="56" customFormat="1" ht="12" x14ac:dyDescent="0.2">
      <c r="A389" s="72"/>
      <c r="B389" s="70" t="s">
        <v>719</v>
      </c>
      <c r="C389" s="71" t="s">
        <v>626</v>
      </c>
      <c r="D389" s="72"/>
      <c r="E389" s="72"/>
      <c r="F389" s="75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52"/>
      <c r="T389" s="52"/>
    </row>
    <row r="390" spans="1:20" s="56" customFormat="1" ht="12" x14ac:dyDescent="0.2">
      <c r="A390" s="94">
        <v>89580</v>
      </c>
      <c r="B390" s="80">
        <v>43831</v>
      </c>
      <c r="C390" s="74" t="s">
        <v>720</v>
      </c>
      <c r="D390" s="73" t="s">
        <v>81</v>
      </c>
      <c r="E390" s="75">
        <v>204</v>
      </c>
      <c r="F390" s="75">
        <f>ROUND(T390*$T$10,2)</f>
        <v>38.24</v>
      </c>
      <c r="G390" s="75">
        <f>ROUND(F390*(1+$U$1),2)</f>
        <v>48.79</v>
      </c>
      <c r="H390" s="76">
        <f>ROUND(E390*G390,2)</f>
        <v>9953.16</v>
      </c>
      <c r="I390" s="75"/>
      <c r="J390" s="75"/>
      <c r="K390" s="75">
        <f>E390-I390</f>
        <v>204</v>
      </c>
      <c r="L390" s="76">
        <f>ROUND(E390*F390,2)</f>
        <v>7800.96</v>
      </c>
      <c r="M390" s="76">
        <f>I390*G390</f>
        <v>0</v>
      </c>
      <c r="N390" s="76">
        <f>J390*G390</f>
        <v>0</v>
      </c>
      <c r="O390" s="76">
        <f>H390-N390</f>
        <v>9953.16</v>
      </c>
      <c r="P390" s="76"/>
      <c r="Q390" s="51"/>
      <c r="T390" s="53">
        <v>38.24</v>
      </c>
    </row>
    <row r="391" spans="1:20" s="56" customFormat="1" ht="12" x14ac:dyDescent="0.2">
      <c r="A391" s="73" t="s">
        <v>721</v>
      </c>
      <c r="B391" s="80">
        <v>43832</v>
      </c>
      <c r="C391" s="74" t="s">
        <v>722</v>
      </c>
      <c r="D391" s="73" t="s">
        <v>81</v>
      </c>
      <c r="E391" s="75">
        <v>108</v>
      </c>
      <c r="F391" s="75">
        <f>ROUND(T391*$T$10,2)</f>
        <v>31.84</v>
      </c>
      <c r="G391" s="75">
        <f>ROUND(F391*(1+$U$1),2)</f>
        <v>40.619999999999997</v>
      </c>
      <c r="H391" s="76">
        <f>ROUND(E391*G391,2)</f>
        <v>4386.96</v>
      </c>
      <c r="I391" s="75"/>
      <c r="J391" s="75"/>
      <c r="K391" s="75">
        <f>E391-I391</f>
        <v>108</v>
      </c>
      <c r="L391" s="76">
        <f>ROUND(E391*F391,2)</f>
        <v>3438.72</v>
      </c>
      <c r="M391" s="76">
        <f>I391*G391</f>
        <v>0</v>
      </c>
      <c r="N391" s="76">
        <f>J391*G391</f>
        <v>0</v>
      </c>
      <c r="O391" s="76">
        <f>H391-N391</f>
        <v>4386.96</v>
      </c>
      <c r="P391" s="76"/>
      <c r="Q391" s="51"/>
      <c r="T391" s="53">
        <v>31.84</v>
      </c>
    </row>
    <row r="392" spans="1:20" s="56" customFormat="1" ht="12" x14ac:dyDescent="0.2">
      <c r="A392" s="94">
        <v>89511</v>
      </c>
      <c r="B392" s="80">
        <v>43833</v>
      </c>
      <c r="C392" s="74" t="s">
        <v>723</v>
      </c>
      <c r="D392" s="73" t="s">
        <v>81</v>
      </c>
      <c r="E392" s="75">
        <v>120</v>
      </c>
      <c r="F392" s="75">
        <f>ROUND(T392*$T$10,2)</f>
        <v>24.3</v>
      </c>
      <c r="G392" s="75">
        <f>ROUND(F392*(1+$U$1),2)</f>
        <v>31</v>
      </c>
      <c r="H392" s="76">
        <f>ROUND(E392*G392,2)</f>
        <v>3720</v>
      </c>
      <c r="I392" s="75"/>
      <c r="J392" s="75"/>
      <c r="K392" s="75">
        <f>E392-I392</f>
        <v>120</v>
      </c>
      <c r="L392" s="76">
        <f>ROUND(E392*F392,2)</f>
        <v>2916</v>
      </c>
      <c r="M392" s="76">
        <f>I392*G392</f>
        <v>0</v>
      </c>
      <c r="N392" s="76">
        <f>J392*G392</f>
        <v>0</v>
      </c>
      <c r="O392" s="76">
        <f>H392-N392</f>
        <v>3720</v>
      </c>
      <c r="P392" s="76"/>
      <c r="Q392" s="51"/>
      <c r="T392" s="53">
        <v>24.3</v>
      </c>
    </row>
    <row r="393" spans="1:20" s="56" customFormat="1" ht="12" x14ac:dyDescent="0.2">
      <c r="A393" s="94">
        <v>89509</v>
      </c>
      <c r="B393" s="80">
        <v>43834</v>
      </c>
      <c r="C393" s="74" t="s">
        <v>724</v>
      </c>
      <c r="D393" s="73" t="s">
        <v>81</v>
      </c>
      <c r="E393" s="75">
        <v>210</v>
      </c>
      <c r="F393" s="75">
        <f>ROUND(T393*$T$10,2)</f>
        <v>16.3</v>
      </c>
      <c r="G393" s="75">
        <f>ROUND(F393*(1+$U$1),2)</f>
        <v>20.8</v>
      </c>
      <c r="H393" s="76">
        <f>ROUND(E393*G393,2)</f>
        <v>4368</v>
      </c>
      <c r="I393" s="75"/>
      <c r="J393" s="75"/>
      <c r="K393" s="75">
        <f>E393-I393</f>
        <v>210</v>
      </c>
      <c r="L393" s="76">
        <f>ROUND(E393*F393,2)</f>
        <v>3423</v>
      </c>
      <c r="M393" s="76">
        <f>I393*G393</f>
        <v>0</v>
      </c>
      <c r="N393" s="76">
        <f>J393*G393</f>
        <v>0</v>
      </c>
      <c r="O393" s="76">
        <f>H393-N393</f>
        <v>4368</v>
      </c>
      <c r="P393" s="76"/>
      <c r="Q393" s="51"/>
      <c r="T393" s="53">
        <v>16.3</v>
      </c>
    </row>
    <row r="394" spans="1:20" s="56" customFormat="1" ht="12" x14ac:dyDescent="0.2">
      <c r="A394" s="94">
        <v>89508</v>
      </c>
      <c r="B394" s="80">
        <v>43835</v>
      </c>
      <c r="C394" s="74" t="s">
        <v>725</v>
      </c>
      <c r="D394" s="73" t="s">
        <v>81</v>
      </c>
      <c r="E394" s="75">
        <v>102</v>
      </c>
      <c r="F394" s="75">
        <f>ROUND(T394*$T$10,2)</f>
        <v>11.22</v>
      </c>
      <c r="G394" s="75">
        <f>ROUND(F394*(1+$U$1),2)</f>
        <v>14.32</v>
      </c>
      <c r="H394" s="76">
        <f>ROUND(E394*G394,2)</f>
        <v>1460.64</v>
      </c>
      <c r="I394" s="75"/>
      <c r="J394" s="75"/>
      <c r="K394" s="75">
        <f>E394-I394</f>
        <v>102</v>
      </c>
      <c r="L394" s="76">
        <f>ROUND(E394*F394,2)</f>
        <v>1144.44</v>
      </c>
      <c r="M394" s="76">
        <f>I394*G394</f>
        <v>0</v>
      </c>
      <c r="N394" s="76">
        <f>J394*G394</f>
        <v>0</v>
      </c>
      <c r="O394" s="76">
        <f>H394-N394</f>
        <v>1460.64</v>
      </c>
      <c r="P394" s="76"/>
      <c r="Q394" s="51"/>
      <c r="T394" s="53">
        <v>11.22</v>
      </c>
    </row>
    <row r="395" spans="1:20" s="56" customFormat="1" ht="22.5" customHeight="1" x14ac:dyDescent="0.2">
      <c r="A395" s="73"/>
      <c r="B395" s="73"/>
      <c r="C395" s="74"/>
      <c r="D395" s="73"/>
      <c r="E395" s="75"/>
      <c r="F395" s="75"/>
      <c r="G395" s="77" t="s">
        <v>1379</v>
      </c>
      <c r="H395" s="78">
        <f>SUM(H390:H394)</f>
        <v>23888.76</v>
      </c>
      <c r="I395" s="75"/>
      <c r="J395" s="75"/>
      <c r="K395" s="75"/>
      <c r="L395" s="76"/>
      <c r="M395" s="78">
        <f>SUM(M390:M394)</f>
        <v>0</v>
      </c>
      <c r="N395" s="78">
        <f>SUM(N390:N394)</f>
        <v>0</v>
      </c>
      <c r="O395" s="78">
        <f>SUM(O390:O394)</f>
        <v>23888.76</v>
      </c>
      <c r="P395" s="76"/>
      <c r="Q395" s="51"/>
      <c r="T395" s="53"/>
    </row>
    <row r="396" spans="1:20" s="56" customFormat="1" ht="12" x14ac:dyDescent="0.2">
      <c r="A396" s="72"/>
      <c r="B396" s="70" t="s">
        <v>726</v>
      </c>
      <c r="C396" s="71" t="s">
        <v>727</v>
      </c>
      <c r="D396" s="72"/>
      <c r="E396" s="72"/>
      <c r="F396" s="75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52"/>
      <c r="T396" s="52"/>
    </row>
    <row r="397" spans="1:20" s="56" customFormat="1" ht="24" x14ac:dyDescent="0.2">
      <c r="A397" s="73" t="s">
        <v>728</v>
      </c>
      <c r="B397" s="80">
        <v>43862</v>
      </c>
      <c r="C397" s="74" t="s">
        <v>729</v>
      </c>
      <c r="D397" s="73" t="s">
        <v>102</v>
      </c>
      <c r="E397" s="75">
        <v>2</v>
      </c>
      <c r="F397" s="75">
        <f>ROUND(T397*$T$10,2)</f>
        <v>11.18</v>
      </c>
      <c r="G397" s="75">
        <f>ROUND(F397*(1+$U$1),2)</f>
        <v>14.26</v>
      </c>
      <c r="H397" s="76">
        <f>ROUND(E397*G397,2)</f>
        <v>28.52</v>
      </c>
      <c r="I397" s="75"/>
      <c r="J397" s="75"/>
      <c r="K397" s="75">
        <f>E397-I397</f>
        <v>2</v>
      </c>
      <c r="L397" s="76">
        <f>ROUND(E397*F397,2)</f>
        <v>22.36</v>
      </c>
      <c r="M397" s="76">
        <f>I397*G397</f>
        <v>0</v>
      </c>
      <c r="N397" s="76">
        <f>J397*G397</f>
        <v>0</v>
      </c>
      <c r="O397" s="76">
        <f>H397-N397</f>
        <v>28.52</v>
      </c>
      <c r="P397" s="76"/>
      <c r="Q397" s="51"/>
      <c r="T397" s="53">
        <v>11.18</v>
      </c>
    </row>
    <row r="398" spans="1:20" s="56" customFormat="1" ht="22.5" customHeight="1" x14ac:dyDescent="0.2">
      <c r="A398" s="73"/>
      <c r="B398" s="73"/>
      <c r="C398" s="74"/>
      <c r="D398" s="73"/>
      <c r="E398" s="75"/>
      <c r="F398" s="75"/>
      <c r="G398" s="77" t="s">
        <v>1380</v>
      </c>
      <c r="H398" s="78">
        <f>SUM(H397)</f>
        <v>28.52</v>
      </c>
      <c r="I398" s="75"/>
      <c r="J398" s="75"/>
      <c r="K398" s="75"/>
      <c r="L398" s="76"/>
      <c r="M398" s="78">
        <f>SUM(M397)</f>
        <v>0</v>
      </c>
      <c r="N398" s="78">
        <f>SUM(N397)</f>
        <v>0</v>
      </c>
      <c r="O398" s="78">
        <f>SUM(O397)</f>
        <v>28.52</v>
      </c>
      <c r="P398" s="76"/>
      <c r="Q398" s="51"/>
      <c r="T398" s="53"/>
    </row>
    <row r="399" spans="1:20" s="56" customFormat="1" ht="12" x14ac:dyDescent="0.2">
      <c r="A399" s="72"/>
      <c r="B399" s="70" t="s">
        <v>730</v>
      </c>
      <c r="C399" s="71" t="s">
        <v>635</v>
      </c>
      <c r="D399" s="72"/>
      <c r="E399" s="72"/>
      <c r="F399" s="75"/>
      <c r="G399" s="72"/>
      <c r="H399" s="75">
        <v>0</v>
      </c>
      <c r="I399" s="72"/>
      <c r="J399" s="72"/>
      <c r="K399" s="72"/>
      <c r="L399" s="72"/>
      <c r="M399" s="75"/>
      <c r="N399" s="75"/>
      <c r="O399" s="75"/>
      <c r="P399" s="75"/>
      <c r="Q399" s="53"/>
      <c r="T399" s="52"/>
    </row>
    <row r="400" spans="1:20" s="56" customFormat="1" ht="12" x14ac:dyDescent="0.2">
      <c r="A400" s="94">
        <v>20151</v>
      </c>
      <c r="B400" s="80">
        <v>43891</v>
      </c>
      <c r="C400" s="74" t="s">
        <v>731</v>
      </c>
      <c r="D400" s="73" t="s">
        <v>102</v>
      </c>
      <c r="E400" s="75">
        <v>11</v>
      </c>
      <c r="F400" s="75">
        <f t="shared" ref="F400:F407" si="114">ROUND(T400*$T$10,2)</f>
        <v>15.18</v>
      </c>
      <c r="G400" s="75">
        <f t="shared" ref="G400:G407" si="115">ROUND(F400*(1+$U$1),2)</f>
        <v>19.37</v>
      </c>
      <c r="H400" s="76">
        <f t="shared" ref="H400:H407" si="116">ROUND(E400*G400,2)</f>
        <v>213.07</v>
      </c>
      <c r="I400" s="75"/>
      <c r="J400" s="75"/>
      <c r="K400" s="75">
        <f t="shared" ref="K400:K407" si="117">E400-I400</f>
        <v>11</v>
      </c>
      <c r="L400" s="76">
        <f t="shared" ref="L400:L407" si="118">ROUND(E400*F400,2)</f>
        <v>166.98</v>
      </c>
      <c r="M400" s="76">
        <f t="shared" ref="M400:M407" si="119">I400*G400</f>
        <v>0</v>
      </c>
      <c r="N400" s="76">
        <f t="shared" ref="N400:N407" si="120">J400*G400</f>
        <v>0</v>
      </c>
      <c r="O400" s="76">
        <f t="shared" ref="O400:O407" si="121">H400-N400</f>
        <v>213.07</v>
      </c>
      <c r="P400" s="76"/>
      <c r="Q400" s="51"/>
      <c r="T400" s="53">
        <v>15.18</v>
      </c>
    </row>
    <row r="401" spans="1:20" s="56" customFormat="1" ht="12" x14ac:dyDescent="0.2">
      <c r="A401" s="94">
        <v>20150</v>
      </c>
      <c r="B401" s="80">
        <v>43892</v>
      </c>
      <c r="C401" s="74" t="s">
        <v>732</v>
      </c>
      <c r="D401" s="73" t="s">
        <v>102</v>
      </c>
      <c r="E401" s="75">
        <v>18</v>
      </c>
      <c r="F401" s="75">
        <f t="shared" si="114"/>
        <v>11.04</v>
      </c>
      <c r="G401" s="75">
        <f t="shared" si="115"/>
        <v>14.09</v>
      </c>
      <c r="H401" s="76">
        <f t="shared" si="116"/>
        <v>253.62</v>
      </c>
      <c r="I401" s="75"/>
      <c r="J401" s="75"/>
      <c r="K401" s="75">
        <f t="shared" si="117"/>
        <v>18</v>
      </c>
      <c r="L401" s="76">
        <f t="shared" si="118"/>
        <v>198.72</v>
      </c>
      <c r="M401" s="76">
        <f t="shared" si="119"/>
        <v>0</v>
      </c>
      <c r="N401" s="76">
        <f t="shared" si="120"/>
        <v>0</v>
      </c>
      <c r="O401" s="76">
        <f t="shared" si="121"/>
        <v>253.62</v>
      </c>
      <c r="P401" s="76"/>
      <c r="Q401" s="51"/>
      <c r="T401" s="53">
        <v>11.04</v>
      </c>
    </row>
    <row r="402" spans="1:20" s="56" customFormat="1" ht="12" x14ac:dyDescent="0.2">
      <c r="A402" s="94">
        <v>20149</v>
      </c>
      <c r="B402" s="80">
        <v>43893</v>
      </c>
      <c r="C402" s="74" t="s">
        <v>733</v>
      </c>
      <c r="D402" s="73" t="s">
        <v>102</v>
      </c>
      <c r="E402" s="75">
        <v>13</v>
      </c>
      <c r="F402" s="75">
        <f t="shared" si="114"/>
        <v>4.2</v>
      </c>
      <c r="G402" s="75">
        <f t="shared" si="115"/>
        <v>5.36</v>
      </c>
      <c r="H402" s="76">
        <f t="shared" si="116"/>
        <v>69.680000000000007</v>
      </c>
      <c r="I402" s="75"/>
      <c r="J402" s="75"/>
      <c r="K402" s="75">
        <f t="shared" si="117"/>
        <v>13</v>
      </c>
      <c r="L402" s="76">
        <f t="shared" si="118"/>
        <v>54.6</v>
      </c>
      <c r="M402" s="76">
        <f t="shared" si="119"/>
        <v>0</v>
      </c>
      <c r="N402" s="76">
        <f t="shared" si="120"/>
        <v>0</v>
      </c>
      <c r="O402" s="76">
        <f t="shared" si="121"/>
        <v>69.680000000000007</v>
      </c>
      <c r="P402" s="76"/>
      <c r="Q402" s="51"/>
      <c r="T402" s="53">
        <v>4.2</v>
      </c>
    </row>
    <row r="403" spans="1:20" s="56" customFormat="1" ht="12" x14ac:dyDescent="0.2">
      <c r="A403" s="94">
        <v>20148</v>
      </c>
      <c r="B403" s="80">
        <v>43894</v>
      </c>
      <c r="C403" s="74" t="s">
        <v>734</v>
      </c>
      <c r="D403" s="73" t="s">
        <v>102</v>
      </c>
      <c r="E403" s="75">
        <v>33</v>
      </c>
      <c r="F403" s="75">
        <f t="shared" si="114"/>
        <v>2.79</v>
      </c>
      <c r="G403" s="75">
        <f t="shared" si="115"/>
        <v>3.56</v>
      </c>
      <c r="H403" s="76">
        <f t="shared" si="116"/>
        <v>117.48</v>
      </c>
      <c r="I403" s="75"/>
      <c r="J403" s="75"/>
      <c r="K403" s="75">
        <f t="shared" si="117"/>
        <v>33</v>
      </c>
      <c r="L403" s="76">
        <f t="shared" si="118"/>
        <v>92.07</v>
      </c>
      <c r="M403" s="76">
        <f t="shared" si="119"/>
        <v>0</v>
      </c>
      <c r="N403" s="76">
        <f t="shared" si="120"/>
        <v>0</v>
      </c>
      <c r="O403" s="76">
        <f t="shared" si="121"/>
        <v>117.48</v>
      </c>
      <c r="P403" s="76"/>
      <c r="Q403" s="51"/>
      <c r="T403" s="53">
        <v>2.79</v>
      </c>
    </row>
    <row r="404" spans="1:20" s="56" customFormat="1" ht="12" x14ac:dyDescent="0.2">
      <c r="A404" s="94">
        <v>20157</v>
      </c>
      <c r="B404" s="80">
        <v>43895</v>
      </c>
      <c r="C404" s="74" t="s">
        <v>735</v>
      </c>
      <c r="D404" s="73" t="s">
        <v>102</v>
      </c>
      <c r="E404" s="75">
        <v>23</v>
      </c>
      <c r="F404" s="75">
        <f t="shared" si="114"/>
        <v>18.87</v>
      </c>
      <c r="G404" s="75">
        <f t="shared" si="115"/>
        <v>24.08</v>
      </c>
      <c r="H404" s="76">
        <f t="shared" si="116"/>
        <v>553.84</v>
      </c>
      <c r="I404" s="75"/>
      <c r="J404" s="75"/>
      <c r="K404" s="75">
        <f t="shared" si="117"/>
        <v>23</v>
      </c>
      <c r="L404" s="76">
        <f t="shared" si="118"/>
        <v>434.01</v>
      </c>
      <c r="M404" s="76">
        <f t="shared" si="119"/>
        <v>0</v>
      </c>
      <c r="N404" s="76">
        <f t="shared" si="120"/>
        <v>0</v>
      </c>
      <c r="O404" s="76">
        <f t="shared" si="121"/>
        <v>553.84</v>
      </c>
      <c r="P404" s="76"/>
      <c r="Q404" s="51"/>
      <c r="T404" s="53">
        <v>18.87</v>
      </c>
    </row>
    <row r="405" spans="1:20" s="56" customFormat="1" ht="12" x14ac:dyDescent="0.2">
      <c r="A405" s="94">
        <v>20156</v>
      </c>
      <c r="B405" s="80">
        <v>43896</v>
      </c>
      <c r="C405" s="74" t="s">
        <v>736</v>
      </c>
      <c r="D405" s="73" t="s">
        <v>102</v>
      </c>
      <c r="E405" s="75">
        <v>7</v>
      </c>
      <c r="F405" s="75">
        <f t="shared" si="114"/>
        <v>11.44</v>
      </c>
      <c r="G405" s="75">
        <f t="shared" si="115"/>
        <v>14.6</v>
      </c>
      <c r="H405" s="76">
        <f t="shared" si="116"/>
        <v>102.2</v>
      </c>
      <c r="I405" s="75"/>
      <c r="J405" s="75"/>
      <c r="K405" s="75">
        <f t="shared" si="117"/>
        <v>7</v>
      </c>
      <c r="L405" s="76">
        <f t="shared" si="118"/>
        <v>80.08</v>
      </c>
      <c r="M405" s="76">
        <f t="shared" si="119"/>
        <v>0</v>
      </c>
      <c r="N405" s="76">
        <f t="shared" si="120"/>
        <v>0</v>
      </c>
      <c r="O405" s="76">
        <f t="shared" si="121"/>
        <v>102.2</v>
      </c>
      <c r="P405" s="76"/>
      <c r="Q405" s="51"/>
      <c r="T405" s="53">
        <v>11.44</v>
      </c>
    </row>
    <row r="406" spans="1:20" s="56" customFormat="1" ht="12" x14ac:dyDescent="0.2">
      <c r="A406" s="94">
        <v>20155</v>
      </c>
      <c r="B406" s="80">
        <v>43897</v>
      </c>
      <c r="C406" s="74" t="s">
        <v>737</v>
      </c>
      <c r="D406" s="73" t="s">
        <v>102</v>
      </c>
      <c r="E406" s="75">
        <v>80</v>
      </c>
      <c r="F406" s="75">
        <f t="shared" si="114"/>
        <v>4.8099999999999996</v>
      </c>
      <c r="G406" s="75">
        <f t="shared" si="115"/>
        <v>6.14</v>
      </c>
      <c r="H406" s="76">
        <f t="shared" si="116"/>
        <v>491.2</v>
      </c>
      <c r="I406" s="75"/>
      <c r="J406" s="75"/>
      <c r="K406" s="75">
        <f t="shared" si="117"/>
        <v>80</v>
      </c>
      <c r="L406" s="76">
        <f t="shared" si="118"/>
        <v>384.8</v>
      </c>
      <c r="M406" s="76">
        <f t="shared" si="119"/>
        <v>0</v>
      </c>
      <c r="N406" s="76">
        <f t="shared" si="120"/>
        <v>0</v>
      </c>
      <c r="O406" s="76">
        <f t="shared" si="121"/>
        <v>491.2</v>
      </c>
      <c r="P406" s="76"/>
      <c r="Q406" s="51"/>
      <c r="T406" s="53">
        <v>4.8099999999999996</v>
      </c>
    </row>
    <row r="407" spans="1:20" s="56" customFormat="1" ht="12" x14ac:dyDescent="0.2">
      <c r="A407" s="94">
        <v>20154</v>
      </c>
      <c r="B407" s="80">
        <v>43898</v>
      </c>
      <c r="C407" s="74" t="s">
        <v>738</v>
      </c>
      <c r="D407" s="73" t="s">
        <v>102</v>
      </c>
      <c r="E407" s="75">
        <v>69</v>
      </c>
      <c r="F407" s="75">
        <f t="shared" si="114"/>
        <v>3.07</v>
      </c>
      <c r="G407" s="75">
        <f t="shared" si="115"/>
        <v>3.92</v>
      </c>
      <c r="H407" s="76">
        <f t="shared" si="116"/>
        <v>270.48</v>
      </c>
      <c r="I407" s="75"/>
      <c r="J407" s="75"/>
      <c r="K407" s="75">
        <f t="shared" si="117"/>
        <v>69</v>
      </c>
      <c r="L407" s="76">
        <f t="shared" si="118"/>
        <v>211.83</v>
      </c>
      <c r="M407" s="76">
        <f t="shared" si="119"/>
        <v>0</v>
      </c>
      <c r="N407" s="76">
        <f t="shared" si="120"/>
        <v>0</v>
      </c>
      <c r="O407" s="76">
        <f t="shared" si="121"/>
        <v>270.48</v>
      </c>
      <c r="P407" s="76"/>
      <c r="Q407" s="51"/>
      <c r="T407" s="53">
        <v>3.07</v>
      </c>
    </row>
    <row r="408" spans="1:20" s="56" customFormat="1" ht="22.5" customHeight="1" x14ac:dyDescent="0.2">
      <c r="A408" s="73"/>
      <c r="B408" s="73"/>
      <c r="C408" s="74"/>
      <c r="D408" s="73"/>
      <c r="E408" s="75"/>
      <c r="F408" s="75"/>
      <c r="G408" s="77" t="s">
        <v>1381</v>
      </c>
      <c r="H408" s="78">
        <f>SUM(H399:H407)</f>
        <v>2071.5700000000002</v>
      </c>
      <c r="I408" s="75"/>
      <c r="J408" s="75"/>
      <c r="K408" s="75"/>
      <c r="L408" s="76"/>
      <c r="M408" s="78">
        <f>SUM(M399:M407)</f>
        <v>0</v>
      </c>
      <c r="N408" s="78">
        <f>SUM(N399:N407)</f>
        <v>0</v>
      </c>
      <c r="O408" s="78">
        <f>SUM(O399:O407)</f>
        <v>2071.5700000000002</v>
      </c>
      <c r="P408" s="76"/>
      <c r="Q408" s="51"/>
      <c r="T408" s="53"/>
    </row>
    <row r="409" spans="1:20" s="56" customFormat="1" ht="12" x14ac:dyDescent="0.2">
      <c r="A409" s="72"/>
      <c r="B409" s="70" t="s">
        <v>739</v>
      </c>
      <c r="C409" s="71" t="s">
        <v>740</v>
      </c>
      <c r="D409" s="72"/>
      <c r="E409" s="72"/>
      <c r="F409" s="75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52"/>
      <c r="T409" s="52"/>
    </row>
    <row r="410" spans="1:20" s="56" customFormat="1" ht="12" x14ac:dyDescent="0.2">
      <c r="A410" s="94">
        <v>20141</v>
      </c>
      <c r="B410" s="80">
        <v>43922</v>
      </c>
      <c r="C410" s="74" t="s">
        <v>741</v>
      </c>
      <c r="D410" s="73" t="s">
        <v>102</v>
      </c>
      <c r="E410" s="75">
        <v>6</v>
      </c>
      <c r="F410" s="75">
        <f>ROUND(T410*$T$10,2)</f>
        <v>8.65</v>
      </c>
      <c r="G410" s="75">
        <f>ROUND(F410*(1+$U$1),2)</f>
        <v>11.04</v>
      </c>
      <c r="H410" s="76">
        <f>ROUND(E410*G410,2)</f>
        <v>66.239999999999995</v>
      </c>
      <c r="I410" s="75"/>
      <c r="J410" s="75"/>
      <c r="K410" s="75">
        <f>E410-I410</f>
        <v>6</v>
      </c>
      <c r="L410" s="76">
        <f>ROUND(E410*F410,2)</f>
        <v>51.9</v>
      </c>
      <c r="M410" s="76">
        <f>I410*G410</f>
        <v>0</v>
      </c>
      <c r="N410" s="76">
        <f>J410*G410</f>
        <v>0</v>
      </c>
      <c r="O410" s="76">
        <f>H410-N410</f>
        <v>66.239999999999995</v>
      </c>
      <c r="P410" s="76"/>
      <c r="Q410" s="51"/>
      <c r="T410" s="53">
        <v>8.65</v>
      </c>
    </row>
    <row r="411" spans="1:20" s="56" customFormat="1" ht="12" x14ac:dyDescent="0.2">
      <c r="A411" s="94">
        <v>20140</v>
      </c>
      <c r="B411" s="80">
        <v>43923</v>
      </c>
      <c r="C411" s="74" t="s">
        <v>742</v>
      </c>
      <c r="D411" s="73" t="s">
        <v>102</v>
      </c>
      <c r="E411" s="75">
        <v>3</v>
      </c>
      <c r="F411" s="75">
        <f>ROUND(T411*$T$10,2)</f>
        <v>5.75</v>
      </c>
      <c r="G411" s="75">
        <f>ROUND(F411*(1+$U$1),2)</f>
        <v>7.34</v>
      </c>
      <c r="H411" s="76">
        <f>ROUND(E411*G411,2)</f>
        <v>22.02</v>
      </c>
      <c r="I411" s="75"/>
      <c r="J411" s="75"/>
      <c r="K411" s="75">
        <f>E411-I411</f>
        <v>3</v>
      </c>
      <c r="L411" s="76">
        <f>ROUND(E411*F411,2)</f>
        <v>17.25</v>
      </c>
      <c r="M411" s="76">
        <f>I411*G411</f>
        <v>0</v>
      </c>
      <c r="N411" s="76">
        <f>J411*G411</f>
        <v>0</v>
      </c>
      <c r="O411" s="76">
        <f>H411-N411</f>
        <v>22.02</v>
      </c>
      <c r="P411" s="76"/>
      <c r="Q411" s="51"/>
      <c r="T411" s="53">
        <v>5.75</v>
      </c>
    </row>
    <row r="412" spans="1:20" s="56" customFormat="1" ht="22.5" customHeight="1" x14ac:dyDescent="0.2">
      <c r="A412" s="73"/>
      <c r="B412" s="73"/>
      <c r="C412" s="74"/>
      <c r="D412" s="73"/>
      <c r="E412" s="75"/>
      <c r="F412" s="75"/>
      <c r="G412" s="77" t="s">
        <v>1382</v>
      </c>
      <c r="H412" s="78">
        <f>SUM(H410:H411)</f>
        <v>88.259999999999991</v>
      </c>
      <c r="I412" s="75"/>
      <c r="J412" s="75"/>
      <c r="K412" s="75"/>
      <c r="L412" s="76"/>
      <c r="M412" s="78">
        <f>SUM(M410:M411)</f>
        <v>0</v>
      </c>
      <c r="N412" s="78">
        <f>SUM(N410:N411)</f>
        <v>0</v>
      </c>
      <c r="O412" s="78">
        <f>SUM(O410:O411)</f>
        <v>88.259999999999991</v>
      </c>
      <c r="P412" s="76"/>
      <c r="Q412" s="51"/>
      <c r="T412" s="53"/>
    </row>
    <row r="413" spans="1:20" s="56" customFormat="1" ht="12" x14ac:dyDescent="0.2">
      <c r="A413" s="72"/>
      <c r="B413" s="70" t="s">
        <v>743</v>
      </c>
      <c r="C413" s="71" t="s">
        <v>641</v>
      </c>
      <c r="D413" s="72"/>
      <c r="E413" s="72"/>
      <c r="F413" s="75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52"/>
      <c r="T413" s="52"/>
    </row>
    <row r="414" spans="1:20" s="56" customFormat="1" ht="12" x14ac:dyDescent="0.2">
      <c r="A414" s="94">
        <v>20171</v>
      </c>
      <c r="B414" s="80">
        <v>43952</v>
      </c>
      <c r="C414" s="74" t="s">
        <v>744</v>
      </c>
      <c r="D414" s="73" t="s">
        <v>102</v>
      </c>
      <c r="E414" s="75">
        <v>13</v>
      </c>
      <c r="F414" s="75">
        <f>ROUND(T414*$T$10,2)</f>
        <v>25.8</v>
      </c>
      <c r="G414" s="75">
        <f>ROUND(F414*(1+$U$1),2)</f>
        <v>32.92</v>
      </c>
      <c r="H414" s="76">
        <f>ROUND(E414*G414,2)</f>
        <v>427.96</v>
      </c>
      <c r="I414" s="75"/>
      <c r="J414" s="75"/>
      <c r="K414" s="75">
        <f>E414-I414</f>
        <v>13</v>
      </c>
      <c r="L414" s="76">
        <f>ROUND(E414*F414,2)</f>
        <v>335.4</v>
      </c>
      <c r="M414" s="76">
        <f>I414*G414</f>
        <v>0</v>
      </c>
      <c r="N414" s="76">
        <f>J414*G414</f>
        <v>0</v>
      </c>
      <c r="O414" s="76">
        <f>H414-N414</f>
        <v>427.96</v>
      </c>
      <c r="P414" s="76"/>
      <c r="Q414" s="51"/>
      <c r="T414" s="53">
        <v>25.8</v>
      </c>
    </row>
    <row r="415" spans="1:20" s="56" customFormat="1" ht="12" x14ac:dyDescent="0.2">
      <c r="A415" s="94">
        <v>20170</v>
      </c>
      <c r="B415" s="80">
        <v>43953</v>
      </c>
      <c r="C415" s="74" t="s">
        <v>745</v>
      </c>
      <c r="D415" s="73" t="s">
        <v>102</v>
      </c>
      <c r="E415" s="75">
        <v>7</v>
      </c>
      <c r="F415" s="75">
        <f>ROUND(T415*$T$10,2)</f>
        <v>8.23</v>
      </c>
      <c r="G415" s="75">
        <f>ROUND(F415*(1+$U$1),2)</f>
        <v>10.5</v>
      </c>
      <c r="H415" s="76">
        <f>ROUND(E415*G415,2)</f>
        <v>73.5</v>
      </c>
      <c r="I415" s="75"/>
      <c r="J415" s="75"/>
      <c r="K415" s="75">
        <f>E415-I415</f>
        <v>7</v>
      </c>
      <c r="L415" s="76">
        <f>ROUND(E415*F415,2)</f>
        <v>57.61</v>
      </c>
      <c r="M415" s="76">
        <f>I415*G415</f>
        <v>0</v>
      </c>
      <c r="N415" s="76">
        <f>J415*G415</f>
        <v>0</v>
      </c>
      <c r="O415" s="76">
        <f>H415-N415</f>
        <v>73.5</v>
      </c>
      <c r="P415" s="76"/>
      <c r="Q415" s="51"/>
      <c r="T415" s="53">
        <v>8.23</v>
      </c>
    </row>
    <row r="416" spans="1:20" s="56" customFormat="1" ht="12" x14ac:dyDescent="0.2">
      <c r="A416" s="94">
        <v>20169</v>
      </c>
      <c r="B416" s="80">
        <v>43954</v>
      </c>
      <c r="C416" s="74" t="s">
        <v>746</v>
      </c>
      <c r="D416" s="73" t="s">
        <v>102</v>
      </c>
      <c r="E416" s="75">
        <v>8</v>
      </c>
      <c r="F416" s="75">
        <f>ROUND(T416*$T$10,2)</f>
        <v>6.79</v>
      </c>
      <c r="G416" s="75">
        <f>ROUND(F416*(1+$U$1),2)</f>
        <v>8.66</v>
      </c>
      <c r="H416" s="76">
        <f>ROUND(E416*G416,2)</f>
        <v>69.28</v>
      </c>
      <c r="I416" s="75"/>
      <c r="J416" s="75"/>
      <c r="K416" s="75">
        <f>E416-I416</f>
        <v>8</v>
      </c>
      <c r="L416" s="76">
        <f>ROUND(E416*F416,2)</f>
        <v>54.32</v>
      </c>
      <c r="M416" s="76">
        <f>I416*G416</f>
        <v>0</v>
      </c>
      <c r="N416" s="76">
        <f>J416*G416</f>
        <v>0</v>
      </c>
      <c r="O416" s="76">
        <f>H416-N416</f>
        <v>69.28</v>
      </c>
      <c r="P416" s="76"/>
      <c r="Q416" s="51"/>
      <c r="T416" s="53">
        <v>6.79</v>
      </c>
    </row>
    <row r="417" spans="1:20" s="56" customFormat="1" ht="12" x14ac:dyDescent="0.2">
      <c r="A417" s="94">
        <v>20168</v>
      </c>
      <c r="B417" s="80">
        <v>43955</v>
      </c>
      <c r="C417" s="74" t="s">
        <v>747</v>
      </c>
      <c r="D417" s="73" t="s">
        <v>102</v>
      </c>
      <c r="E417" s="75">
        <v>14</v>
      </c>
      <c r="F417" s="75">
        <f>ROUND(T417*$T$10,2)</f>
        <v>4.83</v>
      </c>
      <c r="G417" s="75">
        <f>ROUND(F417*(1+$U$1),2)</f>
        <v>6.16</v>
      </c>
      <c r="H417" s="76">
        <f>ROUND(E417*G417,2)</f>
        <v>86.24</v>
      </c>
      <c r="I417" s="75"/>
      <c r="J417" s="75"/>
      <c r="K417" s="75">
        <f>E417-I417</f>
        <v>14</v>
      </c>
      <c r="L417" s="76">
        <f>ROUND(E417*F417,2)</f>
        <v>67.62</v>
      </c>
      <c r="M417" s="76">
        <f>I417*G417</f>
        <v>0</v>
      </c>
      <c r="N417" s="76">
        <f>J417*G417</f>
        <v>0</v>
      </c>
      <c r="O417" s="76">
        <f>H417-N417</f>
        <v>86.24</v>
      </c>
      <c r="P417" s="76"/>
      <c r="Q417" s="51"/>
      <c r="T417" s="53">
        <v>4.83</v>
      </c>
    </row>
    <row r="418" spans="1:20" s="56" customFormat="1" ht="12" x14ac:dyDescent="0.2">
      <c r="A418" s="94">
        <v>20167</v>
      </c>
      <c r="B418" s="80">
        <v>43956</v>
      </c>
      <c r="C418" s="74" t="s">
        <v>748</v>
      </c>
      <c r="D418" s="73" t="s">
        <v>102</v>
      </c>
      <c r="E418" s="75">
        <v>7</v>
      </c>
      <c r="F418" s="75">
        <f>ROUND(T418*$T$10,2)</f>
        <v>3.24</v>
      </c>
      <c r="G418" s="75">
        <f>ROUND(F418*(1+$U$1),2)</f>
        <v>4.13</v>
      </c>
      <c r="H418" s="76">
        <f>ROUND(E418*G418,2)</f>
        <v>28.91</v>
      </c>
      <c r="I418" s="75"/>
      <c r="J418" s="75"/>
      <c r="K418" s="75">
        <f>E418-I418</f>
        <v>7</v>
      </c>
      <c r="L418" s="76">
        <f>ROUND(E418*F418,2)</f>
        <v>22.68</v>
      </c>
      <c r="M418" s="76">
        <f>I418*G418</f>
        <v>0</v>
      </c>
      <c r="N418" s="76">
        <f>J418*G418</f>
        <v>0</v>
      </c>
      <c r="O418" s="76">
        <f>H418-N418</f>
        <v>28.91</v>
      </c>
      <c r="P418" s="76"/>
      <c r="Q418" s="51"/>
      <c r="T418" s="53">
        <v>3.24</v>
      </c>
    </row>
    <row r="419" spans="1:20" s="56" customFormat="1" ht="22.5" customHeight="1" x14ac:dyDescent="0.2">
      <c r="A419" s="73"/>
      <c r="B419" s="73"/>
      <c r="C419" s="74"/>
      <c r="D419" s="73"/>
      <c r="E419" s="75"/>
      <c r="F419" s="75"/>
      <c r="G419" s="77" t="s">
        <v>1383</v>
      </c>
      <c r="H419" s="78">
        <f>SUM(H414:H418)</f>
        <v>685.89</v>
      </c>
      <c r="I419" s="75"/>
      <c r="J419" s="75"/>
      <c r="K419" s="75"/>
      <c r="L419" s="76"/>
      <c r="M419" s="78">
        <f>SUM(M414:M418)</f>
        <v>0</v>
      </c>
      <c r="N419" s="78">
        <f>SUM(N414:N418)</f>
        <v>0</v>
      </c>
      <c r="O419" s="78">
        <f>SUM(O414:O418)</f>
        <v>685.89</v>
      </c>
      <c r="P419" s="76"/>
      <c r="Q419" s="51"/>
      <c r="T419" s="53"/>
    </row>
    <row r="420" spans="1:20" s="56" customFormat="1" ht="12" x14ac:dyDescent="0.2">
      <c r="A420" s="72"/>
      <c r="B420" s="70" t="s">
        <v>749</v>
      </c>
      <c r="C420" s="71" t="s">
        <v>750</v>
      </c>
      <c r="D420" s="72"/>
      <c r="E420" s="72"/>
      <c r="F420" s="75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52"/>
      <c r="T420" s="52"/>
    </row>
    <row r="421" spans="1:20" s="56" customFormat="1" ht="12" x14ac:dyDescent="0.2">
      <c r="A421" s="94">
        <v>20042</v>
      </c>
      <c r="B421" s="80">
        <v>43983</v>
      </c>
      <c r="C421" s="74" t="s">
        <v>751</v>
      </c>
      <c r="D421" s="73" t="s">
        <v>102</v>
      </c>
      <c r="E421" s="75">
        <v>9</v>
      </c>
      <c r="F421" s="75">
        <f>ROUND(T421*$T$10,2)</f>
        <v>3.11</v>
      </c>
      <c r="G421" s="75">
        <f>ROUND(F421*(1+$U$1),2)</f>
        <v>3.97</v>
      </c>
      <c r="H421" s="76">
        <f>ROUND(E421*G421,2)</f>
        <v>35.729999999999997</v>
      </c>
      <c r="I421" s="75"/>
      <c r="J421" s="75"/>
      <c r="K421" s="75">
        <f>E421-I421</f>
        <v>9</v>
      </c>
      <c r="L421" s="76">
        <f>ROUND(E421*F421,2)</f>
        <v>27.99</v>
      </c>
      <c r="M421" s="76">
        <f>I421*G421</f>
        <v>0</v>
      </c>
      <c r="N421" s="76">
        <f>J421*G421</f>
        <v>0</v>
      </c>
      <c r="O421" s="76">
        <f>H421-N421</f>
        <v>35.729999999999997</v>
      </c>
      <c r="P421" s="76"/>
      <c r="Q421" s="51"/>
      <c r="T421" s="53">
        <v>3.11</v>
      </c>
    </row>
    <row r="422" spans="1:20" s="56" customFormat="1" ht="12" x14ac:dyDescent="0.2">
      <c r="A422" s="94">
        <v>38418</v>
      </c>
      <c r="B422" s="80">
        <v>43984</v>
      </c>
      <c r="C422" s="74" t="s">
        <v>752</v>
      </c>
      <c r="D422" s="73" t="s">
        <v>102</v>
      </c>
      <c r="E422" s="75">
        <v>2</v>
      </c>
      <c r="F422" s="75">
        <f>ROUND(T422*$T$10,2)</f>
        <v>3.14</v>
      </c>
      <c r="G422" s="75">
        <f>ROUND(F422*(1+$U$1),2)</f>
        <v>4.01</v>
      </c>
      <c r="H422" s="76">
        <f>ROUND(E422*G422,2)</f>
        <v>8.02</v>
      </c>
      <c r="I422" s="75"/>
      <c r="J422" s="75"/>
      <c r="K422" s="75">
        <f>E422-I422</f>
        <v>2</v>
      </c>
      <c r="L422" s="76">
        <f>ROUND(E422*F422,2)</f>
        <v>6.28</v>
      </c>
      <c r="M422" s="76">
        <f>I422*G422</f>
        <v>0</v>
      </c>
      <c r="N422" s="76">
        <f>J422*G422</f>
        <v>0</v>
      </c>
      <c r="O422" s="76">
        <f>H422-N422</f>
        <v>8.02</v>
      </c>
      <c r="P422" s="76"/>
      <c r="Q422" s="51"/>
      <c r="T422" s="53">
        <v>3.14</v>
      </c>
    </row>
    <row r="423" spans="1:20" s="56" customFormat="1" ht="23.25" customHeight="1" x14ac:dyDescent="0.2">
      <c r="A423" s="73"/>
      <c r="B423" s="73"/>
      <c r="C423" s="74"/>
      <c r="D423" s="73"/>
      <c r="E423" s="75"/>
      <c r="F423" s="75"/>
      <c r="G423" s="77" t="s">
        <v>1384</v>
      </c>
      <c r="H423" s="78">
        <f>SUM(H421:H422)</f>
        <v>43.75</v>
      </c>
      <c r="I423" s="75"/>
      <c r="J423" s="75"/>
      <c r="K423" s="75"/>
      <c r="L423" s="76"/>
      <c r="M423" s="78">
        <f>SUM(M421:M422)</f>
        <v>0</v>
      </c>
      <c r="N423" s="78">
        <f>SUM(N421:N422)</f>
        <v>0</v>
      </c>
      <c r="O423" s="78">
        <f>SUM(O421:O422)</f>
        <v>43.75</v>
      </c>
      <c r="P423" s="76"/>
      <c r="Q423" s="51"/>
      <c r="T423" s="53"/>
    </row>
    <row r="424" spans="1:20" s="56" customFormat="1" ht="12" x14ac:dyDescent="0.2">
      <c r="A424" s="72"/>
      <c r="B424" s="70" t="s">
        <v>753</v>
      </c>
      <c r="C424" s="71" t="s">
        <v>754</v>
      </c>
      <c r="D424" s="72"/>
      <c r="E424" s="72"/>
      <c r="F424" s="75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52"/>
      <c r="T424" s="52"/>
    </row>
    <row r="425" spans="1:20" s="56" customFormat="1" ht="12" x14ac:dyDescent="0.2">
      <c r="A425" s="94">
        <v>89834</v>
      </c>
      <c r="B425" s="80">
        <v>44013</v>
      </c>
      <c r="C425" s="74" t="s">
        <v>755</v>
      </c>
      <c r="D425" s="73" t="s">
        <v>102</v>
      </c>
      <c r="E425" s="75">
        <v>23</v>
      </c>
      <c r="F425" s="75">
        <f>ROUND(T425*$T$10,2)</f>
        <v>26.88</v>
      </c>
      <c r="G425" s="75">
        <f>ROUND(F425*(1+$U$1),2)</f>
        <v>34.299999999999997</v>
      </c>
      <c r="H425" s="76">
        <f>ROUND(E425*G425,2)</f>
        <v>788.9</v>
      </c>
      <c r="I425" s="75"/>
      <c r="J425" s="75"/>
      <c r="K425" s="75">
        <f>E425-I425</f>
        <v>23</v>
      </c>
      <c r="L425" s="76">
        <f>ROUND(E425*F425,2)</f>
        <v>618.24</v>
      </c>
      <c r="M425" s="76">
        <f>I425*G425</f>
        <v>0</v>
      </c>
      <c r="N425" s="76">
        <f>J425*G425</f>
        <v>0</v>
      </c>
      <c r="O425" s="76">
        <f>H425-N425</f>
        <v>788.9</v>
      </c>
      <c r="P425" s="76"/>
      <c r="Q425" s="51"/>
      <c r="T425" s="53">
        <v>26.88</v>
      </c>
    </row>
    <row r="426" spans="1:20" s="56" customFormat="1" ht="24.75" customHeight="1" x14ac:dyDescent="0.2">
      <c r="A426" s="73"/>
      <c r="B426" s="73"/>
      <c r="C426" s="74"/>
      <c r="D426" s="73"/>
      <c r="E426" s="75"/>
      <c r="F426" s="75"/>
      <c r="G426" s="77" t="s">
        <v>1385</v>
      </c>
      <c r="H426" s="78">
        <f>SUM(H425)</f>
        <v>788.9</v>
      </c>
      <c r="I426" s="75"/>
      <c r="J426" s="75"/>
      <c r="K426" s="75"/>
      <c r="L426" s="76"/>
      <c r="M426" s="78">
        <f>SUM(M425)</f>
        <v>0</v>
      </c>
      <c r="N426" s="78">
        <f>SUM(N425)</f>
        <v>0</v>
      </c>
      <c r="O426" s="78">
        <f>SUM(O425)</f>
        <v>788.9</v>
      </c>
      <c r="P426" s="76"/>
      <c r="Q426" s="51"/>
      <c r="T426" s="53"/>
    </row>
    <row r="427" spans="1:20" s="56" customFormat="1" ht="12" x14ac:dyDescent="0.2">
      <c r="A427" s="72"/>
      <c r="B427" s="70" t="s">
        <v>756</v>
      </c>
      <c r="C427" s="71" t="s">
        <v>757</v>
      </c>
      <c r="D427" s="72"/>
      <c r="E427" s="72"/>
      <c r="F427" s="75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52"/>
      <c r="T427" s="52"/>
    </row>
    <row r="428" spans="1:20" s="56" customFormat="1" ht="12" x14ac:dyDescent="0.2">
      <c r="A428" s="94">
        <v>6138</v>
      </c>
      <c r="B428" s="80">
        <v>44044</v>
      </c>
      <c r="C428" s="74" t="s">
        <v>758</v>
      </c>
      <c r="D428" s="73" t="s">
        <v>102</v>
      </c>
      <c r="E428" s="75">
        <v>23</v>
      </c>
      <c r="F428" s="75">
        <f>ROUND(T428*$T$10,2)</f>
        <v>1.66</v>
      </c>
      <c r="G428" s="75">
        <f>ROUND(F428*(1+$U$1),2)</f>
        <v>2.12</v>
      </c>
      <c r="H428" s="76">
        <f>ROUND(E428*G428,2)</f>
        <v>48.76</v>
      </c>
      <c r="I428" s="75"/>
      <c r="J428" s="75"/>
      <c r="K428" s="75">
        <f>E428-I428</f>
        <v>23</v>
      </c>
      <c r="L428" s="76">
        <f>ROUND(E428*F428,2)</f>
        <v>38.18</v>
      </c>
      <c r="M428" s="76">
        <f>I428*G428</f>
        <v>0</v>
      </c>
      <c r="N428" s="76">
        <f>J428*G428</f>
        <v>0</v>
      </c>
      <c r="O428" s="76">
        <f>H428-N428</f>
        <v>48.76</v>
      </c>
      <c r="P428" s="76"/>
      <c r="Q428" s="51"/>
      <c r="T428" s="53">
        <v>1.66</v>
      </c>
    </row>
    <row r="429" spans="1:20" s="56" customFormat="1" ht="21.75" customHeight="1" x14ac:dyDescent="0.2">
      <c r="A429" s="73"/>
      <c r="B429" s="73"/>
      <c r="C429" s="74"/>
      <c r="D429" s="73"/>
      <c r="E429" s="75"/>
      <c r="F429" s="75"/>
      <c r="G429" s="77" t="s">
        <v>1386</v>
      </c>
      <c r="H429" s="78">
        <f>SUM(H428)</f>
        <v>48.76</v>
      </c>
      <c r="I429" s="75"/>
      <c r="J429" s="75"/>
      <c r="K429" s="78"/>
      <c r="L429" s="76"/>
      <c r="M429" s="78">
        <f>SUM(M428)</f>
        <v>0</v>
      </c>
      <c r="N429" s="78">
        <f>SUM(N428)</f>
        <v>0</v>
      </c>
      <c r="O429" s="78">
        <f>SUM(O428)</f>
        <v>48.76</v>
      </c>
      <c r="P429" s="76"/>
      <c r="Q429" s="51"/>
      <c r="T429" s="53"/>
    </row>
    <row r="430" spans="1:20" s="56" customFormat="1" ht="12" x14ac:dyDescent="0.2">
      <c r="A430" s="72"/>
      <c r="B430" s="70" t="s">
        <v>759</v>
      </c>
      <c r="C430" s="71" t="s">
        <v>760</v>
      </c>
      <c r="D430" s="72"/>
      <c r="E430" s="72"/>
      <c r="F430" s="75"/>
      <c r="G430" s="72"/>
      <c r="H430" s="76"/>
      <c r="I430" s="72"/>
      <c r="J430" s="72"/>
      <c r="K430" s="72"/>
      <c r="L430" s="76"/>
      <c r="M430" s="76"/>
      <c r="N430" s="76"/>
      <c r="O430" s="76"/>
      <c r="P430" s="76"/>
      <c r="Q430" s="51"/>
      <c r="T430" s="52"/>
    </row>
    <row r="431" spans="1:20" s="56" customFormat="1" ht="24" x14ac:dyDescent="0.2">
      <c r="A431" s="95">
        <v>84</v>
      </c>
      <c r="B431" s="80">
        <v>44075</v>
      </c>
      <c r="C431" s="74" t="s">
        <v>761</v>
      </c>
      <c r="D431" s="73" t="s">
        <v>102</v>
      </c>
      <c r="E431" s="75">
        <v>17</v>
      </c>
      <c r="F431" s="75">
        <f>ROUND(T431*$T$10,2)</f>
        <v>1.34</v>
      </c>
      <c r="G431" s="75">
        <f>ROUND(F431*(1+$U$1),2)</f>
        <v>1.71</v>
      </c>
      <c r="H431" s="76">
        <f>ROUND(E431*G431,2)</f>
        <v>29.07</v>
      </c>
      <c r="I431" s="75"/>
      <c r="J431" s="75"/>
      <c r="K431" s="75">
        <f>E431-I431</f>
        <v>17</v>
      </c>
      <c r="L431" s="76">
        <f>ROUND(E431*F431,2)</f>
        <v>22.78</v>
      </c>
      <c r="M431" s="76">
        <f>I431*G431</f>
        <v>0</v>
      </c>
      <c r="N431" s="76">
        <f>J431*G431</f>
        <v>0</v>
      </c>
      <c r="O431" s="76">
        <f>H431-N431</f>
        <v>29.07</v>
      </c>
      <c r="P431" s="76"/>
      <c r="Q431" s="51"/>
      <c r="T431" s="53">
        <v>1.34</v>
      </c>
    </row>
    <row r="432" spans="1:20" s="56" customFormat="1" ht="26.25" customHeight="1" x14ac:dyDescent="0.2">
      <c r="A432" s="73"/>
      <c r="B432" s="73"/>
      <c r="C432" s="74"/>
      <c r="D432" s="73"/>
      <c r="E432" s="75"/>
      <c r="F432" s="75"/>
      <c r="G432" s="77" t="s">
        <v>1387</v>
      </c>
      <c r="H432" s="78">
        <f>SUM(H431)</f>
        <v>29.07</v>
      </c>
      <c r="I432" s="75"/>
      <c r="J432" s="75"/>
      <c r="K432" s="75"/>
      <c r="L432" s="76"/>
      <c r="M432" s="78">
        <f>SUM(M431)</f>
        <v>0</v>
      </c>
      <c r="N432" s="78">
        <f>SUM(N431)</f>
        <v>0</v>
      </c>
      <c r="O432" s="78">
        <f>SUM(O431)</f>
        <v>29.07</v>
      </c>
      <c r="P432" s="76"/>
      <c r="Q432" s="51"/>
      <c r="T432" s="53"/>
    </row>
    <row r="433" spans="1:20" s="56" customFormat="1" ht="12" x14ac:dyDescent="0.2">
      <c r="A433" s="72"/>
      <c r="B433" s="70" t="s">
        <v>762</v>
      </c>
      <c r="C433" s="71" t="s">
        <v>450</v>
      </c>
      <c r="D433" s="72"/>
      <c r="E433" s="72"/>
      <c r="F433" s="75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52"/>
      <c r="T433" s="52"/>
    </row>
    <row r="434" spans="1:20" s="56" customFormat="1" ht="12" x14ac:dyDescent="0.2">
      <c r="A434" s="94">
        <v>20178</v>
      </c>
      <c r="B434" s="84">
        <v>44105</v>
      </c>
      <c r="C434" s="74" t="s">
        <v>763</v>
      </c>
      <c r="D434" s="73" t="s">
        <v>102</v>
      </c>
      <c r="E434" s="75">
        <v>23</v>
      </c>
      <c r="F434" s="75">
        <f>ROUND(T434*$T$10,2)</f>
        <v>21.6</v>
      </c>
      <c r="G434" s="75">
        <f>ROUND(F434*(1+$U$1),2)</f>
        <v>27.56</v>
      </c>
      <c r="H434" s="76">
        <f>ROUND(E434*G434,2)</f>
        <v>633.88</v>
      </c>
      <c r="I434" s="75"/>
      <c r="J434" s="75"/>
      <c r="K434" s="75">
        <f>E434-I434</f>
        <v>23</v>
      </c>
      <c r="L434" s="76">
        <f>ROUND(E434*F434,2)</f>
        <v>496.8</v>
      </c>
      <c r="M434" s="76">
        <f>I434*G434</f>
        <v>0</v>
      </c>
      <c r="N434" s="76">
        <f>J434*G434</f>
        <v>0</v>
      </c>
      <c r="O434" s="76">
        <f>H434-N434</f>
        <v>633.88</v>
      </c>
      <c r="P434" s="76"/>
      <c r="Q434" s="51"/>
      <c r="T434" s="53">
        <v>21.6</v>
      </c>
    </row>
    <row r="435" spans="1:20" s="56" customFormat="1" ht="12" x14ac:dyDescent="0.2">
      <c r="A435" s="73" t="s">
        <v>308</v>
      </c>
      <c r="B435" s="84">
        <v>44106</v>
      </c>
      <c r="C435" s="74" t="s">
        <v>764</v>
      </c>
      <c r="D435" s="73" t="s">
        <v>102</v>
      </c>
      <c r="E435" s="75">
        <v>21</v>
      </c>
      <c r="F435" s="75">
        <f>ROUND(T435*$T$10,2)</f>
        <v>15.9</v>
      </c>
      <c r="G435" s="75">
        <f>ROUND(F435*(1+$U$1),2)</f>
        <v>20.29</v>
      </c>
      <c r="H435" s="76">
        <f>ROUND(E435*G435,2)</f>
        <v>426.09</v>
      </c>
      <c r="I435" s="75"/>
      <c r="J435" s="75"/>
      <c r="K435" s="75">
        <f>E435-I435</f>
        <v>21</v>
      </c>
      <c r="L435" s="76">
        <f>ROUND(E435*F435,2)</f>
        <v>333.9</v>
      </c>
      <c r="M435" s="76">
        <f>I435*G435</f>
        <v>0</v>
      </c>
      <c r="N435" s="76">
        <f>J435*G435</f>
        <v>0</v>
      </c>
      <c r="O435" s="76">
        <f>H435-N435</f>
        <v>426.09</v>
      </c>
      <c r="P435" s="76"/>
      <c r="Q435" s="51"/>
      <c r="T435" s="53">
        <v>15.9</v>
      </c>
    </row>
    <row r="436" spans="1:20" s="56" customFormat="1" ht="12" x14ac:dyDescent="0.2">
      <c r="A436" s="94">
        <v>20179</v>
      </c>
      <c r="B436" s="84">
        <v>44107</v>
      </c>
      <c r="C436" s="74" t="s">
        <v>765</v>
      </c>
      <c r="D436" s="73" t="s">
        <v>102</v>
      </c>
      <c r="E436" s="75">
        <v>2</v>
      </c>
      <c r="F436" s="75">
        <f>ROUND(T436*$T$10,2)</f>
        <v>29.74</v>
      </c>
      <c r="G436" s="75">
        <f>ROUND(F436*(1+$U$1),2)</f>
        <v>37.950000000000003</v>
      </c>
      <c r="H436" s="76">
        <f>ROUND(E436*G436,2)</f>
        <v>75.900000000000006</v>
      </c>
      <c r="I436" s="75"/>
      <c r="J436" s="75"/>
      <c r="K436" s="75">
        <f>E436-I436</f>
        <v>2</v>
      </c>
      <c r="L436" s="76">
        <f>ROUND(E436*F436,2)</f>
        <v>59.48</v>
      </c>
      <c r="M436" s="76">
        <f>I436*G436</f>
        <v>0</v>
      </c>
      <c r="N436" s="76">
        <f>J436*G436</f>
        <v>0</v>
      </c>
      <c r="O436" s="76">
        <f>H436-N436</f>
        <v>75.900000000000006</v>
      </c>
      <c r="P436" s="76"/>
      <c r="Q436" s="51"/>
      <c r="T436" s="53">
        <v>29.74</v>
      </c>
    </row>
    <row r="437" spans="1:20" s="56" customFormat="1" ht="12" x14ac:dyDescent="0.2">
      <c r="A437" s="94">
        <v>20177</v>
      </c>
      <c r="B437" s="84">
        <v>44108</v>
      </c>
      <c r="C437" s="74" t="s">
        <v>766</v>
      </c>
      <c r="D437" s="73" t="s">
        <v>102</v>
      </c>
      <c r="E437" s="75">
        <v>4</v>
      </c>
      <c r="F437" s="75">
        <f>ROUND(T437*$T$10,2)</f>
        <v>17.09</v>
      </c>
      <c r="G437" s="75">
        <f>ROUND(F437*(1+$U$1),2)</f>
        <v>21.81</v>
      </c>
      <c r="H437" s="76">
        <f>ROUND(E437*G437,2)</f>
        <v>87.24</v>
      </c>
      <c r="I437" s="75"/>
      <c r="J437" s="75"/>
      <c r="K437" s="75">
        <f>E437-I437</f>
        <v>4</v>
      </c>
      <c r="L437" s="76">
        <f>ROUND(E437*F437,2)</f>
        <v>68.36</v>
      </c>
      <c r="M437" s="76">
        <f>I437*G437</f>
        <v>0</v>
      </c>
      <c r="N437" s="76">
        <f>J437*G437</f>
        <v>0</v>
      </c>
      <c r="O437" s="76">
        <f>H437-N437</f>
        <v>87.24</v>
      </c>
      <c r="P437" s="76"/>
      <c r="Q437" s="51"/>
      <c r="T437" s="53">
        <v>17.09</v>
      </c>
    </row>
    <row r="438" spans="1:20" s="56" customFormat="1" ht="12" x14ac:dyDescent="0.2">
      <c r="A438" s="94">
        <v>7097</v>
      </c>
      <c r="B438" s="84">
        <v>44109</v>
      </c>
      <c r="C438" s="74" t="s">
        <v>767</v>
      </c>
      <c r="D438" s="73" t="s">
        <v>102</v>
      </c>
      <c r="E438" s="75">
        <v>50</v>
      </c>
      <c r="F438" s="75">
        <f>ROUND(T438*$T$10,2)</f>
        <v>5.2</v>
      </c>
      <c r="G438" s="75">
        <f>ROUND(F438*(1+$U$1),2)</f>
        <v>6.63</v>
      </c>
      <c r="H438" s="76">
        <f>ROUND(E438*G438,2)</f>
        <v>331.5</v>
      </c>
      <c r="I438" s="75"/>
      <c r="J438" s="75"/>
      <c r="K438" s="75">
        <f>E438-I438</f>
        <v>50</v>
      </c>
      <c r="L438" s="76">
        <f>ROUND(E438*F438,2)</f>
        <v>260</v>
      </c>
      <c r="M438" s="76">
        <f>I438*G438</f>
        <v>0</v>
      </c>
      <c r="N438" s="76">
        <f>J438*G438</f>
        <v>0</v>
      </c>
      <c r="O438" s="76">
        <f>H438-N438</f>
        <v>331.5</v>
      </c>
      <c r="P438" s="76"/>
      <c r="Q438" s="51"/>
      <c r="T438" s="53">
        <v>5.2</v>
      </c>
    </row>
    <row r="439" spans="1:20" s="56" customFormat="1" ht="26.25" customHeight="1" x14ac:dyDescent="0.2">
      <c r="A439" s="73"/>
      <c r="B439" s="73"/>
      <c r="C439" s="74"/>
      <c r="D439" s="73"/>
      <c r="E439" s="75"/>
      <c r="F439" s="75"/>
      <c r="G439" s="77" t="s">
        <v>1388</v>
      </c>
      <c r="H439" s="78">
        <f>SUM(H434:H438)</f>
        <v>1554.6100000000001</v>
      </c>
      <c r="I439" s="75"/>
      <c r="J439" s="75"/>
      <c r="K439" s="75"/>
      <c r="L439" s="76"/>
      <c r="M439" s="78">
        <f>SUM(M434:M438)</f>
        <v>0</v>
      </c>
      <c r="N439" s="78">
        <f>SUM(N434:N438)</f>
        <v>0</v>
      </c>
      <c r="O439" s="78">
        <f>SUM(O434:O438)</f>
        <v>1554.6100000000001</v>
      </c>
      <c r="P439" s="76"/>
      <c r="Q439" s="51"/>
      <c r="T439" s="53"/>
    </row>
    <row r="440" spans="1:20" s="56" customFormat="1" ht="12" x14ac:dyDescent="0.2">
      <c r="A440" s="72"/>
      <c r="B440" s="70" t="s">
        <v>768</v>
      </c>
      <c r="C440" s="71" t="s">
        <v>684</v>
      </c>
      <c r="D440" s="72"/>
      <c r="E440" s="72"/>
      <c r="F440" s="75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52"/>
      <c r="T440" s="52"/>
    </row>
    <row r="441" spans="1:20" s="56" customFormat="1" ht="12" x14ac:dyDescent="0.2">
      <c r="A441" s="72"/>
      <c r="B441" s="85">
        <v>44136</v>
      </c>
      <c r="C441" s="71" t="s">
        <v>769</v>
      </c>
      <c r="D441" s="72"/>
      <c r="E441" s="72"/>
      <c r="F441" s="75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52"/>
      <c r="T441" s="52"/>
    </row>
    <row r="442" spans="1:20" s="56" customFormat="1" ht="12" x14ac:dyDescent="0.2">
      <c r="A442" s="94">
        <v>11880</v>
      </c>
      <c r="B442" s="73" t="s">
        <v>770</v>
      </c>
      <c r="C442" s="74" t="s">
        <v>771</v>
      </c>
      <c r="D442" s="73" t="s">
        <v>102</v>
      </c>
      <c r="E442" s="75">
        <v>4</v>
      </c>
      <c r="F442" s="75">
        <f>ROUND(T442*$T$10,2)</f>
        <v>68.53</v>
      </c>
      <c r="G442" s="75">
        <f>ROUND(F442*(1+$U$1),2)</f>
        <v>87.44</v>
      </c>
      <c r="H442" s="76">
        <f>ROUND(E442*G442,2)</f>
        <v>349.76</v>
      </c>
      <c r="I442" s="75"/>
      <c r="J442" s="75"/>
      <c r="K442" s="75">
        <f>E442-I442</f>
        <v>4</v>
      </c>
      <c r="L442" s="76">
        <f>ROUND(E442*F442,2)</f>
        <v>274.12</v>
      </c>
      <c r="M442" s="76">
        <f>I442*G442</f>
        <v>0</v>
      </c>
      <c r="N442" s="76">
        <f>J442*G442</f>
        <v>0</v>
      </c>
      <c r="O442" s="76">
        <f>H442-N442</f>
        <v>349.76</v>
      </c>
      <c r="P442" s="76"/>
      <c r="Q442" s="51"/>
      <c r="T442" s="53">
        <v>68.53</v>
      </c>
    </row>
    <row r="443" spans="1:20" s="56" customFormat="1" ht="12" x14ac:dyDescent="0.2">
      <c r="A443" s="94">
        <v>89491</v>
      </c>
      <c r="B443" s="73" t="s">
        <v>772</v>
      </c>
      <c r="C443" s="74" t="s">
        <v>773</v>
      </c>
      <c r="D443" s="73" t="s">
        <v>102</v>
      </c>
      <c r="E443" s="75">
        <v>18</v>
      </c>
      <c r="F443" s="75">
        <f>ROUND(T443*$T$10,2)</f>
        <v>44.44</v>
      </c>
      <c r="G443" s="75">
        <f>ROUND(F443*(1+$U$1),2)</f>
        <v>56.7</v>
      </c>
      <c r="H443" s="76">
        <f>ROUND(E443*G443,2)</f>
        <v>1020.6</v>
      </c>
      <c r="I443" s="75"/>
      <c r="J443" s="75"/>
      <c r="K443" s="75">
        <f>E443-I443</f>
        <v>18</v>
      </c>
      <c r="L443" s="76">
        <f>ROUND(E443*F443,2)</f>
        <v>799.92</v>
      </c>
      <c r="M443" s="76">
        <f>I443*G443</f>
        <v>0</v>
      </c>
      <c r="N443" s="76">
        <f>J443*G443</f>
        <v>0</v>
      </c>
      <c r="O443" s="76">
        <f>H443-N443</f>
        <v>1020.6</v>
      </c>
      <c r="P443" s="76"/>
      <c r="Q443" s="51"/>
      <c r="T443" s="53">
        <v>44.44</v>
      </c>
    </row>
    <row r="444" spans="1:20" s="56" customFormat="1" ht="12" x14ac:dyDescent="0.2">
      <c r="A444" s="72"/>
      <c r="B444" s="85">
        <v>44137</v>
      </c>
      <c r="C444" s="71" t="s">
        <v>774</v>
      </c>
      <c r="D444" s="72"/>
      <c r="E444" s="72"/>
      <c r="F444" s="75"/>
      <c r="G444" s="72"/>
      <c r="H444" s="76">
        <f>E444*G444</f>
        <v>0</v>
      </c>
      <c r="I444" s="72"/>
      <c r="J444" s="72"/>
      <c r="K444" s="72"/>
      <c r="L444" s="76">
        <f>E444*F444</f>
        <v>0</v>
      </c>
      <c r="M444" s="76"/>
      <c r="N444" s="76"/>
      <c r="O444" s="76"/>
      <c r="P444" s="76"/>
      <c r="Q444" s="51"/>
      <c r="T444" s="52"/>
    </row>
    <row r="445" spans="1:20" s="56" customFormat="1" ht="12" x14ac:dyDescent="0.2">
      <c r="A445" s="94">
        <v>11716</v>
      </c>
      <c r="B445" s="73" t="s">
        <v>775</v>
      </c>
      <c r="C445" s="74" t="s">
        <v>776</v>
      </c>
      <c r="D445" s="73" t="s">
        <v>102</v>
      </c>
      <c r="E445" s="75">
        <v>6</v>
      </c>
      <c r="F445" s="75">
        <f>ROUND(T445*$T$10,2)</f>
        <v>10.38</v>
      </c>
      <c r="G445" s="75">
        <f>ROUND(F445*(1+$U$1),2)</f>
        <v>13.24</v>
      </c>
      <c r="H445" s="76">
        <f>ROUND(E445*G445,2)</f>
        <v>79.44</v>
      </c>
      <c r="I445" s="75"/>
      <c r="J445" s="75"/>
      <c r="K445" s="75">
        <f>E445-I445</f>
        <v>6</v>
      </c>
      <c r="L445" s="76">
        <f>ROUND(E445*F445,2)</f>
        <v>62.28</v>
      </c>
      <c r="M445" s="76">
        <f>I445*G445</f>
        <v>0</v>
      </c>
      <c r="N445" s="76">
        <f>J445*G445</f>
        <v>0</v>
      </c>
      <c r="O445" s="76">
        <f>H445-N445</f>
        <v>79.44</v>
      </c>
      <c r="P445" s="76"/>
      <c r="Q445" s="51"/>
      <c r="T445" s="53">
        <v>10.38</v>
      </c>
    </row>
    <row r="446" spans="1:20" s="56" customFormat="1" ht="12" x14ac:dyDescent="0.2">
      <c r="A446" s="72"/>
      <c r="B446" s="85">
        <v>44138</v>
      </c>
      <c r="C446" s="71" t="s">
        <v>711</v>
      </c>
      <c r="D446" s="72"/>
      <c r="E446" s="72"/>
      <c r="F446" s="75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52"/>
      <c r="T446" s="52"/>
    </row>
    <row r="447" spans="1:20" s="56" customFormat="1" ht="12" x14ac:dyDescent="0.2">
      <c r="A447" s="73" t="s">
        <v>308</v>
      </c>
      <c r="B447" s="73" t="s">
        <v>777</v>
      </c>
      <c r="C447" s="74" t="s">
        <v>778</v>
      </c>
      <c r="D447" s="73" t="s">
        <v>102</v>
      </c>
      <c r="E447" s="75">
        <v>13</v>
      </c>
      <c r="F447" s="75">
        <f t="shared" ref="F447:F457" si="122">ROUND(T447*$T$10,2)</f>
        <v>24.15</v>
      </c>
      <c r="G447" s="75">
        <f t="shared" ref="G447:G457" si="123">ROUND(F447*(1+$U$1),2)</f>
        <v>30.81</v>
      </c>
      <c r="H447" s="76">
        <f t="shared" ref="H447:H457" si="124">ROUND(E447*G447,2)</f>
        <v>400.53</v>
      </c>
      <c r="I447" s="75"/>
      <c r="J447" s="75"/>
      <c r="K447" s="75">
        <f t="shared" ref="K447:K457" si="125">E447-I447</f>
        <v>13</v>
      </c>
      <c r="L447" s="76">
        <f t="shared" ref="L447:L457" si="126">ROUND(E447*F447,2)</f>
        <v>313.95</v>
      </c>
      <c r="M447" s="76">
        <f t="shared" ref="M447:M457" si="127">I447*G447</f>
        <v>0</v>
      </c>
      <c r="N447" s="76">
        <f t="shared" ref="N447:N457" si="128">J447*G447</f>
        <v>0</v>
      </c>
      <c r="O447" s="76">
        <f t="shared" ref="O447:O457" si="129">H447-N447</f>
        <v>400.53</v>
      </c>
      <c r="P447" s="76"/>
      <c r="Q447" s="51"/>
      <c r="T447" s="53">
        <v>24.15</v>
      </c>
    </row>
    <row r="448" spans="1:20" s="56" customFormat="1" ht="12" x14ac:dyDescent="0.2">
      <c r="A448" s="73" t="s">
        <v>308</v>
      </c>
      <c r="B448" s="73" t="s">
        <v>779</v>
      </c>
      <c r="C448" s="74" t="s">
        <v>780</v>
      </c>
      <c r="D448" s="73" t="s">
        <v>102</v>
      </c>
      <c r="E448" s="75">
        <v>2</v>
      </c>
      <c r="F448" s="75">
        <f t="shared" si="122"/>
        <v>11.66</v>
      </c>
      <c r="G448" s="75">
        <f t="shared" si="123"/>
        <v>14.88</v>
      </c>
      <c r="H448" s="76">
        <f t="shared" si="124"/>
        <v>29.76</v>
      </c>
      <c r="I448" s="75"/>
      <c r="J448" s="75"/>
      <c r="K448" s="75">
        <f t="shared" si="125"/>
        <v>2</v>
      </c>
      <c r="L448" s="76">
        <f t="shared" si="126"/>
        <v>23.32</v>
      </c>
      <c r="M448" s="76">
        <f t="shared" si="127"/>
        <v>0</v>
      </c>
      <c r="N448" s="76">
        <f t="shared" si="128"/>
        <v>0</v>
      </c>
      <c r="O448" s="76">
        <f t="shared" si="129"/>
        <v>29.76</v>
      </c>
      <c r="P448" s="76"/>
      <c r="Q448" s="51"/>
      <c r="T448" s="53">
        <v>11.66</v>
      </c>
    </row>
    <row r="449" spans="1:20" s="56" customFormat="1" ht="24" x14ac:dyDescent="0.2">
      <c r="A449" s="73" t="s">
        <v>308</v>
      </c>
      <c r="B449" s="73" t="s">
        <v>781</v>
      </c>
      <c r="C449" s="74" t="s">
        <v>782</v>
      </c>
      <c r="D449" s="73" t="s">
        <v>102</v>
      </c>
      <c r="E449" s="75">
        <v>5</v>
      </c>
      <c r="F449" s="75">
        <f t="shared" si="122"/>
        <v>16.05</v>
      </c>
      <c r="G449" s="75">
        <f t="shared" si="123"/>
        <v>20.48</v>
      </c>
      <c r="H449" s="76">
        <f t="shared" si="124"/>
        <v>102.4</v>
      </c>
      <c r="I449" s="75"/>
      <c r="J449" s="75"/>
      <c r="K449" s="75">
        <f t="shared" si="125"/>
        <v>5</v>
      </c>
      <c r="L449" s="76">
        <f t="shared" si="126"/>
        <v>80.25</v>
      </c>
      <c r="M449" s="76">
        <f t="shared" si="127"/>
        <v>0</v>
      </c>
      <c r="N449" s="76">
        <f t="shared" si="128"/>
        <v>0</v>
      </c>
      <c r="O449" s="76">
        <f t="shared" si="129"/>
        <v>102.4</v>
      </c>
      <c r="P449" s="76"/>
      <c r="Q449" s="51"/>
      <c r="T449" s="53">
        <v>16.05</v>
      </c>
    </row>
    <row r="450" spans="1:20" s="56" customFormat="1" ht="24" x14ac:dyDescent="0.2">
      <c r="A450" s="73" t="s">
        <v>308</v>
      </c>
      <c r="B450" s="73" t="s">
        <v>783</v>
      </c>
      <c r="C450" s="74" t="s">
        <v>784</v>
      </c>
      <c r="D450" s="73" t="s">
        <v>102</v>
      </c>
      <c r="E450" s="75">
        <v>4</v>
      </c>
      <c r="F450" s="75">
        <f t="shared" si="122"/>
        <v>9.69</v>
      </c>
      <c r="G450" s="75">
        <f t="shared" si="123"/>
        <v>12.36</v>
      </c>
      <c r="H450" s="76">
        <f t="shared" si="124"/>
        <v>49.44</v>
      </c>
      <c r="I450" s="75"/>
      <c r="J450" s="75"/>
      <c r="K450" s="75">
        <f t="shared" si="125"/>
        <v>4</v>
      </c>
      <c r="L450" s="76">
        <f t="shared" si="126"/>
        <v>38.76</v>
      </c>
      <c r="M450" s="76">
        <f t="shared" si="127"/>
        <v>0</v>
      </c>
      <c r="N450" s="76">
        <f t="shared" si="128"/>
        <v>0</v>
      </c>
      <c r="O450" s="76">
        <f t="shared" si="129"/>
        <v>49.44</v>
      </c>
      <c r="P450" s="76"/>
      <c r="Q450" s="51"/>
      <c r="T450" s="53">
        <v>9.69</v>
      </c>
    </row>
    <row r="451" spans="1:20" s="56" customFormat="1" ht="24" x14ac:dyDescent="0.2">
      <c r="A451" s="73" t="s">
        <v>308</v>
      </c>
      <c r="B451" s="73" t="s">
        <v>785</v>
      </c>
      <c r="C451" s="74" t="s">
        <v>786</v>
      </c>
      <c r="D451" s="73" t="s">
        <v>102</v>
      </c>
      <c r="E451" s="75">
        <v>8</v>
      </c>
      <c r="F451" s="75">
        <f t="shared" si="122"/>
        <v>128.66</v>
      </c>
      <c r="G451" s="75">
        <f t="shared" si="123"/>
        <v>164.16</v>
      </c>
      <c r="H451" s="76">
        <f t="shared" si="124"/>
        <v>1313.28</v>
      </c>
      <c r="I451" s="75"/>
      <c r="J451" s="75"/>
      <c r="K451" s="75">
        <f t="shared" si="125"/>
        <v>8</v>
      </c>
      <c r="L451" s="76">
        <f t="shared" si="126"/>
        <v>1029.28</v>
      </c>
      <c r="M451" s="76">
        <f t="shared" si="127"/>
        <v>0</v>
      </c>
      <c r="N451" s="76">
        <f t="shared" si="128"/>
        <v>0</v>
      </c>
      <c r="O451" s="76">
        <f t="shared" si="129"/>
        <v>1313.28</v>
      </c>
      <c r="P451" s="76"/>
      <c r="Q451" s="51"/>
      <c r="T451" s="53">
        <v>128.66</v>
      </c>
    </row>
    <row r="452" spans="1:20" s="56" customFormat="1" ht="24" x14ac:dyDescent="0.2">
      <c r="A452" s="73" t="s">
        <v>308</v>
      </c>
      <c r="B452" s="73" t="s">
        <v>787</v>
      </c>
      <c r="C452" s="74" t="s">
        <v>788</v>
      </c>
      <c r="D452" s="73" t="s">
        <v>102</v>
      </c>
      <c r="E452" s="75">
        <v>40</v>
      </c>
      <c r="F452" s="75">
        <f t="shared" si="122"/>
        <v>61.54</v>
      </c>
      <c r="G452" s="75">
        <f t="shared" si="123"/>
        <v>78.52</v>
      </c>
      <c r="H452" s="76">
        <f t="shared" si="124"/>
        <v>3140.8</v>
      </c>
      <c r="I452" s="75"/>
      <c r="J452" s="75"/>
      <c r="K452" s="75">
        <f t="shared" si="125"/>
        <v>40</v>
      </c>
      <c r="L452" s="76">
        <f t="shared" si="126"/>
        <v>2461.6</v>
      </c>
      <c r="M452" s="76">
        <f t="shared" si="127"/>
        <v>0</v>
      </c>
      <c r="N452" s="76">
        <f t="shared" si="128"/>
        <v>0</v>
      </c>
      <c r="O452" s="76">
        <f t="shared" si="129"/>
        <v>3140.8</v>
      </c>
      <c r="P452" s="76"/>
      <c r="Q452" s="51"/>
      <c r="T452" s="53">
        <v>61.54</v>
      </c>
    </row>
    <row r="453" spans="1:20" s="56" customFormat="1" ht="12" x14ac:dyDescent="0.2">
      <c r="A453" s="73" t="s">
        <v>308</v>
      </c>
      <c r="B453" s="73" t="s">
        <v>789</v>
      </c>
      <c r="C453" s="74" t="s">
        <v>790</v>
      </c>
      <c r="D453" s="73" t="s">
        <v>102</v>
      </c>
      <c r="E453" s="75">
        <v>1</v>
      </c>
      <c r="F453" s="75">
        <f t="shared" si="122"/>
        <v>23.8</v>
      </c>
      <c r="G453" s="75">
        <f t="shared" si="123"/>
        <v>30.37</v>
      </c>
      <c r="H453" s="76">
        <f t="shared" si="124"/>
        <v>30.37</v>
      </c>
      <c r="I453" s="75"/>
      <c r="J453" s="75"/>
      <c r="K453" s="75">
        <f t="shared" si="125"/>
        <v>1</v>
      </c>
      <c r="L453" s="76">
        <f t="shared" si="126"/>
        <v>23.8</v>
      </c>
      <c r="M453" s="76">
        <f t="shared" si="127"/>
        <v>0</v>
      </c>
      <c r="N453" s="76">
        <f t="shared" si="128"/>
        <v>0</v>
      </c>
      <c r="O453" s="76">
        <f t="shared" si="129"/>
        <v>30.37</v>
      </c>
      <c r="P453" s="76"/>
      <c r="Q453" s="51"/>
      <c r="T453" s="53">
        <v>23.8</v>
      </c>
    </row>
    <row r="454" spans="1:20" s="56" customFormat="1" ht="12" x14ac:dyDescent="0.2">
      <c r="A454" s="73" t="s">
        <v>308</v>
      </c>
      <c r="B454" s="73" t="s">
        <v>791</v>
      </c>
      <c r="C454" s="74" t="s">
        <v>792</v>
      </c>
      <c r="D454" s="73" t="s">
        <v>102</v>
      </c>
      <c r="E454" s="75">
        <v>4</v>
      </c>
      <c r="F454" s="75">
        <f t="shared" si="122"/>
        <v>39.9</v>
      </c>
      <c r="G454" s="75">
        <f t="shared" si="123"/>
        <v>50.91</v>
      </c>
      <c r="H454" s="76">
        <f t="shared" si="124"/>
        <v>203.64</v>
      </c>
      <c r="I454" s="75"/>
      <c r="J454" s="75"/>
      <c r="K454" s="75">
        <f t="shared" si="125"/>
        <v>4</v>
      </c>
      <c r="L454" s="76">
        <f t="shared" si="126"/>
        <v>159.6</v>
      </c>
      <c r="M454" s="76">
        <f t="shared" si="127"/>
        <v>0</v>
      </c>
      <c r="N454" s="76">
        <f t="shared" si="128"/>
        <v>0</v>
      </c>
      <c r="O454" s="76">
        <f t="shared" si="129"/>
        <v>203.64</v>
      </c>
      <c r="P454" s="76"/>
      <c r="Q454" s="51"/>
      <c r="T454" s="53">
        <v>39.9</v>
      </c>
    </row>
    <row r="455" spans="1:20" s="56" customFormat="1" ht="12" x14ac:dyDescent="0.2">
      <c r="A455" s="73" t="s">
        <v>308</v>
      </c>
      <c r="B455" s="73" t="s">
        <v>793</v>
      </c>
      <c r="C455" s="74" t="s">
        <v>794</v>
      </c>
      <c r="D455" s="73" t="s">
        <v>102</v>
      </c>
      <c r="E455" s="75">
        <v>4</v>
      </c>
      <c r="F455" s="75">
        <f t="shared" si="122"/>
        <v>12.92</v>
      </c>
      <c r="G455" s="75">
        <f t="shared" si="123"/>
        <v>16.48</v>
      </c>
      <c r="H455" s="76">
        <f t="shared" si="124"/>
        <v>65.92</v>
      </c>
      <c r="I455" s="75"/>
      <c r="J455" s="75"/>
      <c r="K455" s="75">
        <f t="shared" si="125"/>
        <v>4</v>
      </c>
      <c r="L455" s="76">
        <f t="shared" si="126"/>
        <v>51.68</v>
      </c>
      <c r="M455" s="76">
        <f t="shared" si="127"/>
        <v>0</v>
      </c>
      <c r="N455" s="76">
        <f t="shared" si="128"/>
        <v>0</v>
      </c>
      <c r="O455" s="76">
        <f t="shared" si="129"/>
        <v>65.92</v>
      </c>
      <c r="P455" s="76"/>
      <c r="Q455" s="51"/>
      <c r="T455" s="53">
        <v>12.92</v>
      </c>
    </row>
    <row r="456" spans="1:20" s="56" customFormat="1" ht="12" x14ac:dyDescent="0.2">
      <c r="A456" s="73" t="s">
        <v>308</v>
      </c>
      <c r="B456" s="73" t="s">
        <v>795</v>
      </c>
      <c r="C456" s="74" t="s">
        <v>796</v>
      </c>
      <c r="D456" s="73" t="s">
        <v>102</v>
      </c>
      <c r="E456" s="75">
        <v>18</v>
      </c>
      <c r="F456" s="75">
        <f t="shared" si="122"/>
        <v>3.73</v>
      </c>
      <c r="G456" s="75">
        <f t="shared" si="123"/>
        <v>4.76</v>
      </c>
      <c r="H456" s="76">
        <f t="shared" si="124"/>
        <v>85.68</v>
      </c>
      <c r="I456" s="75"/>
      <c r="J456" s="75"/>
      <c r="K456" s="75">
        <f t="shared" si="125"/>
        <v>18</v>
      </c>
      <c r="L456" s="76">
        <f t="shared" si="126"/>
        <v>67.14</v>
      </c>
      <c r="M456" s="76">
        <f t="shared" si="127"/>
        <v>0</v>
      </c>
      <c r="N456" s="76">
        <f t="shared" si="128"/>
        <v>0</v>
      </c>
      <c r="O456" s="76">
        <f t="shared" si="129"/>
        <v>85.68</v>
      </c>
      <c r="P456" s="76"/>
      <c r="Q456" s="51"/>
      <c r="T456" s="53">
        <v>3.73</v>
      </c>
    </row>
    <row r="457" spans="1:20" s="56" customFormat="1" ht="12" x14ac:dyDescent="0.2">
      <c r="A457" s="73" t="s">
        <v>308</v>
      </c>
      <c r="B457" s="73" t="s">
        <v>797</v>
      </c>
      <c r="C457" s="74" t="s">
        <v>798</v>
      </c>
      <c r="D457" s="73" t="s">
        <v>102</v>
      </c>
      <c r="E457" s="75">
        <v>6</v>
      </c>
      <c r="F457" s="75">
        <f t="shared" si="122"/>
        <v>3.01</v>
      </c>
      <c r="G457" s="75">
        <f t="shared" si="123"/>
        <v>3.84</v>
      </c>
      <c r="H457" s="76">
        <f t="shared" si="124"/>
        <v>23.04</v>
      </c>
      <c r="I457" s="75"/>
      <c r="J457" s="75"/>
      <c r="K457" s="75">
        <f t="shared" si="125"/>
        <v>6</v>
      </c>
      <c r="L457" s="76">
        <f t="shared" si="126"/>
        <v>18.059999999999999</v>
      </c>
      <c r="M457" s="76">
        <f t="shared" si="127"/>
        <v>0</v>
      </c>
      <c r="N457" s="76">
        <f t="shared" si="128"/>
        <v>0</v>
      </c>
      <c r="O457" s="76">
        <f t="shared" si="129"/>
        <v>23.04</v>
      </c>
      <c r="P457" s="76"/>
      <c r="Q457" s="51"/>
      <c r="T457" s="53">
        <v>3.01</v>
      </c>
    </row>
    <row r="458" spans="1:20" s="56" customFormat="1" ht="12" x14ac:dyDescent="0.2">
      <c r="A458" s="72"/>
      <c r="B458" s="85">
        <v>44139</v>
      </c>
      <c r="C458" s="71" t="s">
        <v>799</v>
      </c>
      <c r="D458" s="72"/>
      <c r="E458" s="72"/>
      <c r="F458" s="75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52"/>
      <c r="T458" s="52"/>
    </row>
    <row r="459" spans="1:20" s="56" customFormat="1" ht="12" x14ac:dyDescent="0.2">
      <c r="A459" s="94">
        <v>98108</v>
      </c>
      <c r="B459" s="73" t="s">
        <v>800</v>
      </c>
      <c r="C459" s="74" t="s">
        <v>801</v>
      </c>
      <c r="D459" s="73" t="s">
        <v>102</v>
      </c>
      <c r="E459" s="75">
        <v>1</v>
      </c>
      <c r="F459" s="75">
        <f>ROUND(T459*$T$10,2)</f>
        <v>347.61</v>
      </c>
      <c r="G459" s="75">
        <f>ROUND(F459*(1+$U$1),2)</f>
        <v>443.52</v>
      </c>
      <c r="H459" s="76">
        <f>ROUND(E459*G459,2)</f>
        <v>443.52</v>
      </c>
      <c r="I459" s="75"/>
      <c r="J459" s="75"/>
      <c r="K459" s="75">
        <f>E459-I459</f>
        <v>1</v>
      </c>
      <c r="L459" s="76">
        <f>ROUND(E459*F459,2)</f>
        <v>347.61</v>
      </c>
      <c r="M459" s="76">
        <f>I459*G459</f>
        <v>0</v>
      </c>
      <c r="N459" s="76">
        <f>J459*G459</f>
        <v>0</v>
      </c>
      <c r="O459" s="76">
        <f>H459-N459</f>
        <v>443.52</v>
      </c>
      <c r="P459" s="76"/>
      <c r="Q459" s="51"/>
      <c r="T459" s="53">
        <v>347.61</v>
      </c>
    </row>
    <row r="460" spans="1:20" s="56" customFormat="1" ht="12" x14ac:dyDescent="0.2">
      <c r="A460" s="94">
        <v>98106</v>
      </c>
      <c r="B460" s="73" t="s">
        <v>802</v>
      </c>
      <c r="C460" s="74" t="s">
        <v>803</v>
      </c>
      <c r="D460" s="73" t="s">
        <v>102</v>
      </c>
      <c r="E460" s="75">
        <v>1</v>
      </c>
      <c r="F460" s="75">
        <f>ROUND(T460*$T$10,2)</f>
        <v>786.65</v>
      </c>
      <c r="G460" s="75">
        <f>ROUND(F460*(1+$U$1),2)</f>
        <v>1003.69</v>
      </c>
      <c r="H460" s="76">
        <f>ROUND(E460*G460,2)</f>
        <v>1003.69</v>
      </c>
      <c r="I460" s="75"/>
      <c r="J460" s="75"/>
      <c r="K460" s="75">
        <f>E460-I460</f>
        <v>1</v>
      </c>
      <c r="L460" s="76">
        <f>ROUND(E460*F460,2)</f>
        <v>786.65</v>
      </c>
      <c r="M460" s="76">
        <f>I460*G460</f>
        <v>0</v>
      </c>
      <c r="N460" s="76">
        <f>J460*G460</f>
        <v>0</v>
      </c>
      <c r="O460" s="76">
        <f>H460-N460</f>
        <v>1003.69</v>
      </c>
      <c r="P460" s="76"/>
      <c r="Q460" s="51"/>
      <c r="T460" s="53">
        <v>786.65</v>
      </c>
    </row>
    <row r="461" spans="1:20" s="56" customFormat="1" ht="24" x14ac:dyDescent="0.2">
      <c r="A461" s="73" t="s">
        <v>308</v>
      </c>
      <c r="B461" s="73" t="s">
        <v>804</v>
      </c>
      <c r="C461" s="74" t="s">
        <v>805</v>
      </c>
      <c r="D461" s="73" t="s">
        <v>102</v>
      </c>
      <c r="E461" s="75">
        <v>2</v>
      </c>
      <c r="F461" s="75">
        <f>ROUND(T461*$T$10,2)</f>
        <v>205.99</v>
      </c>
      <c r="G461" s="75">
        <f>ROUND(F461*(1+$U$1),2)</f>
        <v>262.82</v>
      </c>
      <c r="H461" s="76">
        <f>ROUND(E461*G461,2)</f>
        <v>525.64</v>
      </c>
      <c r="I461" s="75"/>
      <c r="J461" s="75"/>
      <c r="K461" s="75">
        <f>E461-I461</f>
        <v>2</v>
      </c>
      <c r="L461" s="76">
        <f>ROUND(E461*F461,2)</f>
        <v>411.98</v>
      </c>
      <c r="M461" s="76">
        <f>I461*G461</f>
        <v>0</v>
      </c>
      <c r="N461" s="76">
        <f>J461*G461</f>
        <v>0</v>
      </c>
      <c r="O461" s="76">
        <f>H461-N461</f>
        <v>525.64</v>
      </c>
      <c r="P461" s="76"/>
      <c r="Q461" s="51"/>
      <c r="T461" s="53">
        <v>205.99</v>
      </c>
    </row>
    <row r="462" spans="1:20" s="56" customFormat="1" ht="12" x14ac:dyDescent="0.2">
      <c r="A462" s="72"/>
      <c r="B462" s="85">
        <v>44140</v>
      </c>
      <c r="C462" s="71" t="s">
        <v>806</v>
      </c>
      <c r="D462" s="72"/>
      <c r="E462" s="72"/>
      <c r="F462" s="75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52"/>
      <c r="T462" s="52"/>
    </row>
    <row r="463" spans="1:20" s="56" customFormat="1" ht="12" x14ac:dyDescent="0.2">
      <c r="A463" s="94">
        <v>39320</v>
      </c>
      <c r="B463" s="73" t="s">
        <v>807</v>
      </c>
      <c r="C463" s="74" t="s">
        <v>808</v>
      </c>
      <c r="D463" s="73" t="s">
        <v>102</v>
      </c>
      <c r="E463" s="75">
        <v>9</v>
      </c>
      <c r="F463" s="75">
        <f>ROUND(T463*$T$10,2)</f>
        <v>5.18</v>
      </c>
      <c r="G463" s="75">
        <f>ROUND(F463*(1+$U$1),2)</f>
        <v>6.61</v>
      </c>
      <c r="H463" s="76">
        <f>ROUND(E463*G463,2)</f>
        <v>59.49</v>
      </c>
      <c r="I463" s="75"/>
      <c r="J463" s="75"/>
      <c r="K463" s="75">
        <f>E463-I463</f>
        <v>9</v>
      </c>
      <c r="L463" s="76">
        <f>ROUND(E463*F463,2)</f>
        <v>46.62</v>
      </c>
      <c r="M463" s="76">
        <f>I463*G463</f>
        <v>0</v>
      </c>
      <c r="N463" s="76">
        <f>J463*G463</f>
        <v>0</v>
      </c>
      <c r="O463" s="76">
        <f>H463-N463</f>
        <v>59.49</v>
      </c>
      <c r="P463" s="76"/>
      <c r="Q463" s="51"/>
      <c r="T463" s="53">
        <v>5.18</v>
      </c>
    </row>
    <row r="464" spans="1:20" s="56" customFormat="1" ht="12" x14ac:dyDescent="0.2">
      <c r="A464" s="94">
        <v>39319</v>
      </c>
      <c r="B464" s="73" t="s">
        <v>809</v>
      </c>
      <c r="C464" s="74" t="s">
        <v>810</v>
      </c>
      <c r="D464" s="73" t="s">
        <v>102</v>
      </c>
      <c r="E464" s="75">
        <v>6</v>
      </c>
      <c r="F464" s="75">
        <f>ROUND(T464*$T$10,2)</f>
        <v>4.34</v>
      </c>
      <c r="G464" s="75">
        <f>ROUND(F464*(1+$U$1),2)</f>
        <v>5.54</v>
      </c>
      <c r="H464" s="76">
        <f>ROUND(E464*G464,2)</f>
        <v>33.24</v>
      </c>
      <c r="I464" s="75"/>
      <c r="J464" s="75"/>
      <c r="K464" s="75">
        <f>E464-I464</f>
        <v>6</v>
      </c>
      <c r="L464" s="76">
        <f>ROUND(E464*F464,2)</f>
        <v>26.04</v>
      </c>
      <c r="M464" s="76">
        <f>I464*G464</f>
        <v>0</v>
      </c>
      <c r="N464" s="76">
        <f>J464*G464</f>
        <v>0</v>
      </c>
      <c r="O464" s="76">
        <f>H464-N464</f>
        <v>33.24</v>
      </c>
      <c r="P464" s="76"/>
      <c r="Q464" s="51"/>
      <c r="T464" s="53">
        <v>4.34</v>
      </c>
    </row>
    <row r="465" spans="1:20" s="56" customFormat="1" ht="12" x14ac:dyDescent="0.2">
      <c r="A465" s="72"/>
      <c r="B465" s="85">
        <v>44141</v>
      </c>
      <c r="C465" s="71" t="s">
        <v>811</v>
      </c>
      <c r="D465" s="72"/>
      <c r="E465" s="72"/>
      <c r="F465" s="75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52"/>
      <c r="T465" s="52"/>
    </row>
    <row r="466" spans="1:20" s="56" customFormat="1" ht="12" x14ac:dyDescent="0.2">
      <c r="A466" s="73" t="s">
        <v>78</v>
      </c>
      <c r="B466" s="73" t="s">
        <v>812</v>
      </c>
      <c r="C466" s="74" t="s">
        <v>813</v>
      </c>
      <c r="D466" s="73" t="s">
        <v>102</v>
      </c>
      <c r="E466" s="75">
        <v>11</v>
      </c>
      <c r="F466" s="75">
        <f>ROUND(T466*$T$10,2)</f>
        <v>376.56</v>
      </c>
      <c r="G466" s="75">
        <f>ROUND(F466*(1+$U$1),2)</f>
        <v>480.45</v>
      </c>
      <c r="H466" s="76">
        <f>ROUND(E466*G466,2)</f>
        <v>5284.95</v>
      </c>
      <c r="I466" s="75"/>
      <c r="J466" s="75"/>
      <c r="K466" s="75">
        <f>E466-I466</f>
        <v>11</v>
      </c>
      <c r="L466" s="76">
        <f>ROUND(E466*F466,2)</f>
        <v>4142.16</v>
      </c>
      <c r="M466" s="76">
        <f>I466*G466</f>
        <v>0</v>
      </c>
      <c r="N466" s="76">
        <f>J466*G466</f>
        <v>0</v>
      </c>
      <c r="O466" s="76">
        <f>H466-N466</f>
        <v>5284.95</v>
      </c>
      <c r="P466" s="76"/>
      <c r="Q466" s="51"/>
      <c r="T466" s="53">
        <v>376.56</v>
      </c>
    </row>
    <row r="467" spans="1:20" s="56" customFormat="1" ht="24" x14ac:dyDescent="0.2">
      <c r="A467" s="73" t="s">
        <v>308</v>
      </c>
      <c r="B467" s="73" t="s">
        <v>814</v>
      </c>
      <c r="C467" s="74" t="s">
        <v>815</v>
      </c>
      <c r="D467" s="73" t="s">
        <v>102</v>
      </c>
      <c r="E467" s="75">
        <v>13</v>
      </c>
      <c r="F467" s="75">
        <f>ROUND(T467*$T$10,2)</f>
        <v>205.99</v>
      </c>
      <c r="G467" s="75">
        <f>ROUND(F467*(1+$U$1),2)</f>
        <v>262.82</v>
      </c>
      <c r="H467" s="76">
        <f>ROUND(E467*G467,2)</f>
        <v>3416.66</v>
      </c>
      <c r="I467" s="75"/>
      <c r="J467" s="75"/>
      <c r="K467" s="75">
        <f>E467-I467</f>
        <v>13</v>
      </c>
      <c r="L467" s="76">
        <f>ROUND(E467*F467,2)</f>
        <v>2677.87</v>
      </c>
      <c r="M467" s="76">
        <f>I467*G467</f>
        <v>0</v>
      </c>
      <c r="N467" s="76">
        <f>J467*G467</f>
        <v>0</v>
      </c>
      <c r="O467" s="76">
        <f>H467-N467</f>
        <v>3416.66</v>
      </c>
      <c r="P467" s="76"/>
      <c r="Q467" s="51"/>
      <c r="T467" s="53">
        <v>205.99</v>
      </c>
    </row>
    <row r="468" spans="1:20" s="56" customFormat="1" ht="12" x14ac:dyDescent="0.2">
      <c r="A468" s="73" t="s">
        <v>78</v>
      </c>
      <c r="B468" s="73" t="s">
        <v>816</v>
      </c>
      <c r="C468" s="74" t="s">
        <v>817</v>
      </c>
      <c r="D468" s="73" t="s">
        <v>102</v>
      </c>
      <c r="E468" s="75">
        <v>2</v>
      </c>
      <c r="F468" s="75">
        <f>ROUND(T468*$T$10,2)</f>
        <v>472.96</v>
      </c>
      <c r="G468" s="75">
        <f>ROUND(F468*(1+$U$1),2)</f>
        <v>603.45000000000005</v>
      </c>
      <c r="H468" s="76">
        <f>ROUND(E468*G468,2)</f>
        <v>1206.9000000000001</v>
      </c>
      <c r="I468" s="75"/>
      <c r="J468" s="75"/>
      <c r="K468" s="75">
        <f>E468-I468</f>
        <v>2</v>
      </c>
      <c r="L468" s="76">
        <f>ROUND(E468*F468,2)</f>
        <v>945.92</v>
      </c>
      <c r="M468" s="76">
        <f>I468*G468</f>
        <v>0</v>
      </c>
      <c r="N468" s="76">
        <f>J468*G468</f>
        <v>0</v>
      </c>
      <c r="O468" s="76">
        <f>H468-N468</f>
        <v>1206.9000000000001</v>
      </c>
      <c r="P468" s="76"/>
      <c r="Q468" s="51"/>
      <c r="T468" s="53">
        <v>472.96</v>
      </c>
    </row>
    <row r="469" spans="1:20" s="56" customFormat="1" ht="12" x14ac:dyDescent="0.2">
      <c r="A469" s="72"/>
      <c r="B469" s="85">
        <v>44142</v>
      </c>
      <c r="C469" s="71" t="s">
        <v>703</v>
      </c>
      <c r="D469" s="72"/>
      <c r="E469" s="72"/>
      <c r="F469" s="75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52"/>
      <c r="T469" s="52"/>
    </row>
    <row r="470" spans="1:20" s="56" customFormat="1" ht="24" x14ac:dyDescent="0.2">
      <c r="A470" s="73" t="s">
        <v>818</v>
      </c>
      <c r="B470" s="73" t="s">
        <v>819</v>
      </c>
      <c r="C470" s="74" t="s">
        <v>820</v>
      </c>
      <c r="D470" s="73" t="s">
        <v>102</v>
      </c>
      <c r="E470" s="75">
        <v>1</v>
      </c>
      <c r="F470" s="75">
        <f>ROUND(T470*$T$10,2)</f>
        <v>3604.47</v>
      </c>
      <c r="G470" s="75">
        <f>ROUND(F470*(1+$U$1),2)</f>
        <v>4598.9399999999996</v>
      </c>
      <c r="H470" s="76">
        <f>ROUND(E470*G470,2)</f>
        <v>4598.9399999999996</v>
      </c>
      <c r="I470" s="75"/>
      <c r="J470" s="75"/>
      <c r="K470" s="75">
        <f>E470-I470</f>
        <v>1</v>
      </c>
      <c r="L470" s="76">
        <f>ROUND(E470*F470,2)</f>
        <v>3604.47</v>
      </c>
      <c r="M470" s="76">
        <f>I470*G470</f>
        <v>0</v>
      </c>
      <c r="N470" s="76">
        <f>J470*G470</f>
        <v>0</v>
      </c>
      <c r="O470" s="76">
        <f>H470-N470</f>
        <v>4598.9399999999996</v>
      </c>
      <c r="P470" s="76"/>
      <c r="Q470" s="51"/>
      <c r="T470" s="51">
        <v>3604.47</v>
      </c>
    </row>
    <row r="471" spans="1:20" s="56" customFormat="1" ht="24" x14ac:dyDescent="0.2">
      <c r="A471" s="73" t="s">
        <v>308</v>
      </c>
      <c r="B471" s="73" t="s">
        <v>821</v>
      </c>
      <c r="C471" s="74" t="s">
        <v>822</v>
      </c>
      <c r="D471" s="73" t="s">
        <v>102</v>
      </c>
      <c r="E471" s="75">
        <v>1</v>
      </c>
      <c r="F471" s="75">
        <f>ROUND(T471*$T$10,2)</f>
        <v>308.99</v>
      </c>
      <c r="G471" s="75">
        <f>ROUND(F471*(1+$U$1),2)</f>
        <v>394.24</v>
      </c>
      <c r="H471" s="76">
        <f>ROUND(E471*G471,2)</f>
        <v>394.24</v>
      </c>
      <c r="I471" s="75"/>
      <c r="J471" s="75"/>
      <c r="K471" s="75">
        <f>E471-I471</f>
        <v>1</v>
      </c>
      <c r="L471" s="76">
        <f>ROUND(E471*F471,2)</f>
        <v>308.99</v>
      </c>
      <c r="M471" s="76">
        <f>I471*G471</f>
        <v>0</v>
      </c>
      <c r="N471" s="76">
        <f>J471*G471</f>
        <v>0</v>
      </c>
      <c r="O471" s="76">
        <f>H471-N471</f>
        <v>394.24</v>
      </c>
      <c r="P471" s="76"/>
      <c r="Q471" s="51"/>
      <c r="T471" s="53">
        <v>308.99</v>
      </c>
    </row>
    <row r="472" spans="1:20" s="56" customFormat="1" ht="26.25" customHeight="1" x14ac:dyDescent="0.2">
      <c r="A472" s="73"/>
      <c r="B472" s="73"/>
      <c r="C472" s="74"/>
      <c r="D472" s="73"/>
      <c r="E472" s="75"/>
      <c r="F472" s="75"/>
      <c r="G472" s="77" t="s">
        <v>1378</v>
      </c>
      <c r="H472" s="78">
        <f>SUM(H442:H471)</f>
        <v>23861.93</v>
      </c>
      <c r="I472" s="75"/>
      <c r="J472" s="75"/>
      <c r="K472" s="75"/>
      <c r="L472" s="76"/>
      <c r="M472" s="78">
        <f>SUM(M442:M471)</f>
        <v>0</v>
      </c>
      <c r="N472" s="78">
        <f>SUM(N442:N471)</f>
        <v>0</v>
      </c>
      <c r="O472" s="78">
        <f>SUM(O442:O471)</f>
        <v>23861.93</v>
      </c>
      <c r="P472" s="76"/>
      <c r="Q472" s="51"/>
      <c r="T472" s="53"/>
    </row>
    <row r="473" spans="1:20" s="56" customFormat="1" ht="12" x14ac:dyDescent="0.2">
      <c r="A473" s="72"/>
      <c r="B473" s="71"/>
      <c r="C473" s="71"/>
      <c r="D473" s="71"/>
      <c r="E473" s="71"/>
      <c r="F473" s="75"/>
      <c r="G473" s="77" t="s">
        <v>823</v>
      </c>
      <c r="H473" s="78">
        <f>H472+H439+H432+H429+H426+H423+H419+H412+H408+H398+H395</f>
        <v>53090.02</v>
      </c>
      <c r="I473" s="71"/>
      <c r="J473" s="71"/>
      <c r="K473" s="71"/>
      <c r="L473" s="78">
        <f>SUM(L390:L471)</f>
        <v>41609.429999999993</v>
      </c>
      <c r="M473" s="78">
        <f>M472+M439+M432+M429+M426+M423+M419+M412+M408+M398+M395</f>
        <v>0</v>
      </c>
      <c r="N473" s="78">
        <f>N472+N439+N432+N429+N426+N423+N419+N412+N408+N398+N395</f>
        <v>0</v>
      </c>
      <c r="O473" s="78">
        <f>O472+O439+O432+O429+O426+O423+O419+O412+O408+O398+O395</f>
        <v>53090.02</v>
      </c>
      <c r="P473" s="78"/>
      <c r="Q473" s="60">
        <v>53090.01999999999</v>
      </c>
      <c r="R473" s="58"/>
      <c r="T473" s="59"/>
    </row>
    <row r="474" spans="1:20" s="56" customFormat="1" ht="12" x14ac:dyDescent="0.2">
      <c r="A474" s="72"/>
      <c r="B474" s="69"/>
      <c r="C474" s="82"/>
      <c r="D474" s="72"/>
      <c r="E474" s="72"/>
      <c r="F474" s="75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52"/>
      <c r="T474" s="52"/>
    </row>
    <row r="475" spans="1:20" s="56" customFormat="1" ht="12" x14ac:dyDescent="0.2">
      <c r="A475" s="72"/>
      <c r="B475" s="70" t="s">
        <v>824</v>
      </c>
      <c r="C475" s="71" t="s">
        <v>825</v>
      </c>
      <c r="D475" s="72"/>
      <c r="E475" s="72"/>
      <c r="F475" s="75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52"/>
      <c r="T475" s="52"/>
    </row>
    <row r="476" spans="1:20" s="56" customFormat="1" ht="12" x14ac:dyDescent="0.2">
      <c r="A476" s="72"/>
      <c r="B476" s="70" t="s">
        <v>826</v>
      </c>
      <c r="C476" s="71" t="s">
        <v>827</v>
      </c>
      <c r="D476" s="72"/>
      <c r="E476" s="72"/>
      <c r="F476" s="75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52"/>
      <c r="T476" s="52"/>
    </row>
    <row r="477" spans="1:20" s="56" customFormat="1" ht="36" x14ac:dyDescent="0.2">
      <c r="A477" s="94">
        <v>96985</v>
      </c>
      <c r="B477" s="80">
        <v>44197</v>
      </c>
      <c r="C477" s="82" t="s">
        <v>863</v>
      </c>
      <c r="D477" s="73" t="s">
        <v>102</v>
      </c>
      <c r="E477" s="75">
        <v>3</v>
      </c>
      <c r="F477" s="75">
        <f>ROUND(T477*$T$10,2)</f>
        <v>38.270000000000003</v>
      </c>
      <c r="G477" s="75">
        <f>ROUND(F477*(1+$U$1),2)</f>
        <v>48.83</v>
      </c>
      <c r="H477" s="76">
        <f>ROUND(E477*G477,2)</f>
        <v>146.49</v>
      </c>
      <c r="I477" s="75"/>
      <c r="J477" s="75"/>
      <c r="K477" s="75">
        <f>E477-I477</f>
        <v>3</v>
      </c>
      <c r="L477" s="76">
        <f>ROUND(E477*F477,2)</f>
        <v>114.81</v>
      </c>
      <c r="M477" s="76">
        <f>I477*G477</f>
        <v>0</v>
      </c>
      <c r="N477" s="76">
        <f>J477*G477</f>
        <v>0</v>
      </c>
      <c r="O477" s="76">
        <f>H477-N477</f>
        <v>146.49</v>
      </c>
      <c r="P477" s="76"/>
      <c r="Q477" s="51"/>
      <c r="T477" s="53">
        <v>38.270000000000003</v>
      </c>
    </row>
    <row r="478" spans="1:20" s="56" customFormat="1" ht="24" x14ac:dyDescent="0.2">
      <c r="A478" s="94">
        <v>98111</v>
      </c>
      <c r="B478" s="80">
        <v>44198</v>
      </c>
      <c r="C478" s="74" t="s">
        <v>828</v>
      </c>
      <c r="D478" s="73" t="s">
        <v>102</v>
      </c>
      <c r="E478" s="75">
        <v>1</v>
      </c>
      <c r="F478" s="75">
        <f>ROUND(T478*$T$10,2)</f>
        <v>17.170000000000002</v>
      </c>
      <c r="G478" s="75">
        <f>ROUND(F478*(1+$U$1),2)</f>
        <v>21.91</v>
      </c>
      <c r="H478" s="76">
        <f>ROUND(E478*G478,2)</f>
        <v>21.91</v>
      </c>
      <c r="I478" s="75"/>
      <c r="J478" s="75"/>
      <c r="K478" s="75">
        <f>E478-I478</f>
        <v>1</v>
      </c>
      <c r="L478" s="76">
        <f>ROUND(E478*F478,2)</f>
        <v>17.170000000000002</v>
      </c>
      <c r="M478" s="76">
        <f>I478*G478</f>
        <v>0</v>
      </c>
      <c r="N478" s="76">
        <f>J478*G478</f>
        <v>0</v>
      </c>
      <c r="O478" s="76">
        <f>H478-N478</f>
        <v>21.91</v>
      </c>
      <c r="P478" s="76"/>
      <c r="Q478" s="51"/>
      <c r="T478" s="53">
        <v>17.170000000000002</v>
      </c>
    </row>
    <row r="479" spans="1:20" s="56" customFormat="1" ht="24" x14ac:dyDescent="0.2">
      <c r="A479" s="94">
        <v>39862</v>
      </c>
      <c r="B479" s="80">
        <v>44199</v>
      </c>
      <c r="C479" s="74" t="s">
        <v>829</v>
      </c>
      <c r="D479" s="73" t="s">
        <v>102</v>
      </c>
      <c r="E479" s="75">
        <v>3</v>
      </c>
      <c r="F479" s="75">
        <f>ROUND(T479*$T$10,2)</f>
        <v>5.62</v>
      </c>
      <c r="G479" s="75">
        <f>ROUND(F479*(1+$U$1),2)</f>
        <v>7.17</v>
      </c>
      <c r="H479" s="76">
        <f>ROUND(E479*G479,2)</f>
        <v>21.51</v>
      </c>
      <c r="I479" s="75"/>
      <c r="J479" s="75"/>
      <c r="K479" s="75">
        <f>E479-I479</f>
        <v>3</v>
      </c>
      <c r="L479" s="76">
        <f>ROUND(E479*F479,2)</f>
        <v>16.86</v>
      </c>
      <c r="M479" s="76">
        <f>I479*G479</f>
        <v>0</v>
      </c>
      <c r="N479" s="76">
        <f>J479*G479</f>
        <v>0</v>
      </c>
      <c r="O479" s="76">
        <f>H479-N479</f>
        <v>21.51</v>
      </c>
      <c r="P479" s="76"/>
      <c r="Q479" s="51"/>
      <c r="T479" s="53">
        <v>5.62</v>
      </c>
    </row>
    <row r="480" spans="1:20" s="56" customFormat="1" ht="12" x14ac:dyDescent="0.2">
      <c r="A480" s="72"/>
      <c r="B480" s="71"/>
      <c r="C480" s="71"/>
      <c r="D480" s="71"/>
      <c r="E480" s="71"/>
      <c r="F480" s="75"/>
      <c r="G480" s="77" t="s">
        <v>830</v>
      </c>
      <c r="H480" s="86">
        <f>SUM(H477:H479)</f>
        <v>189.91</v>
      </c>
      <c r="I480" s="71"/>
      <c r="J480" s="71"/>
      <c r="K480" s="71"/>
      <c r="L480" s="86">
        <f>SUM(L477:L479)</f>
        <v>148.84000000000003</v>
      </c>
      <c r="M480" s="86">
        <f>SUM(M477:M479)</f>
        <v>0</v>
      </c>
      <c r="N480" s="86">
        <f>SUM(N477:N479)</f>
        <v>0</v>
      </c>
      <c r="O480" s="86">
        <f>SUM(O477:O479)</f>
        <v>189.91</v>
      </c>
      <c r="P480" s="86"/>
      <c r="Q480" s="62"/>
      <c r="T480" s="59"/>
    </row>
    <row r="481" spans="1:20" s="56" customFormat="1" ht="12" x14ac:dyDescent="0.2">
      <c r="A481" s="72"/>
      <c r="B481" s="70" t="s">
        <v>831</v>
      </c>
      <c r="C481" s="71" t="s">
        <v>832</v>
      </c>
      <c r="D481" s="72"/>
      <c r="E481" s="72"/>
      <c r="F481" s="75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52"/>
      <c r="T481" s="52"/>
    </row>
    <row r="482" spans="1:20" s="56" customFormat="1" ht="12" x14ac:dyDescent="0.2">
      <c r="A482" s="94">
        <v>96974</v>
      </c>
      <c r="B482" s="80">
        <v>44228</v>
      </c>
      <c r="C482" s="74" t="s">
        <v>833</v>
      </c>
      <c r="D482" s="73" t="s">
        <v>81</v>
      </c>
      <c r="E482" s="75">
        <v>15</v>
      </c>
      <c r="F482" s="75">
        <f>ROUND(T482*$T$10,2)</f>
        <v>36.83</v>
      </c>
      <c r="G482" s="75">
        <f>ROUND(F482*(1+$U$1),2)</f>
        <v>46.99</v>
      </c>
      <c r="H482" s="76">
        <f>ROUND(E482*G482,2)</f>
        <v>704.85</v>
      </c>
      <c r="I482" s="75"/>
      <c r="J482" s="75"/>
      <c r="K482" s="75">
        <f>E482-I482</f>
        <v>15</v>
      </c>
      <c r="L482" s="76">
        <f>ROUND(E482*F482,2)</f>
        <v>552.45000000000005</v>
      </c>
      <c r="M482" s="76">
        <f>I482*G482</f>
        <v>0</v>
      </c>
      <c r="N482" s="76">
        <f>J482*G482</f>
        <v>0</v>
      </c>
      <c r="O482" s="76">
        <f>H482-N482</f>
        <v>704.85</v>
      </c>
      <c r="P482" s="76"/>
      <c r="Q482" s="51"/>
      <c r="T482" s="53">
        <v>36.83</v>
      </c>
    </row>
    <row r="483" spans="1:20" s="56" customFormat="1" ht="12" x14ac:dyDescent="0.2">
      <c r="A483" s="94">
        <v>96973</v>
      </c>
      <c r="B483" s="80">
        <v>44229</v>
      </c>
      <c r="C483" s="74" t="s">
        <v>834</v>
      </c>
      <c r="D483" s="73" t="s">
        <v>81</v>
      </c>
      <c r="E483" s="75">
        <v>8</v>
      </c>
      <c r="F483" s="75">
        <f>ROUND(T483*$T$10,2)</f>
        <v>29.32</v>
      </c>
      <c r="G483" s="75">
        <f>ROUND(F483*(1+$U$1),2)</f>
        <v>37.409999999999997</v>
      </c>
      <c r="H483" s="76">
        <f>ROUND(E483*G483,2)</f>
        <v>299.27999999999997</v>
      </c>
      <c r="I483" s="75"/>
      <c r="J483" s="75"/>
      <c r="K483" s="75">
        <f>E483-I483</f>
        <v>8</v>
      </c>
      <c r="L483" s="76">
        <f>ROUND(E483*F483,2)</f>
        <v>234.56</v>
      </c>
      <c r="M483" s="76">
        <f>I483*G483</f>
        <v>0</v>
      </c>
      <c r="N483" s="76">
        <f>J483*G483</f>
        <v>0</v>
      </c>
      <c r="O483" s="76">
        <f>H483-N483</f>
        <v>299.27999999999997</v>
      </c>
      <c r="P483" s="76"/>
      <c r="Q483" s="51"/>
      <c r="T483" s="53">
        <v>29.32</v>
      </c>
    </row>
    <row r="484" spans="1:20" s="56" customFormat="1" ht="12" x14ac:dyDescent="0.2">
      <c r="A484" s="72"/>
      <c r="B484" s="71"/>
      <c r="C484" s="71"/>
      <c r="D484" s="71"/>
      <c r="E484" s="71"/>
      <c r="F484" s="75"/>
      <c r="G484" s="77" t="s">
        <v>835</v>
      </c>
      <c r="H484" s="86">
        <f>SUM(H481:H483)</f>
        <v>1004.13</v>
      </c>
      <c r="I484" s="71"/>
      <c r="J484" s="71"/>
      <c r="K484" s="71"/>
      <c r="L484" s="86">
        <f>SUM(L481:L483)</f>
        <v>787.01</v>
      </c>
      <c r="M484" s="86">
        <f>SUM(M481:M483)</f>
        <v>0</v>
      </c>
      <c r="N484" s="86">
        <f>SUM(N481:N483)</f>
        <v>0</v>
      </c>
      <c r="O484" s="86">
        <f>SUM(O481:O483)</f>
        <v>1004.13</v>
      </c>
      <c r="P484" s="86"/>
      <c r="Q484" s="62"/>
      <c r="T484" s="59"/>
    </row>
    <row r="485" spans="1:20" s="56" customFormat="1" ht="12" x14ac:dyDescent="0.2">
      <c r="A485" s="72"/>
      <c r="B485" s="70" t="s">
        <v>836</v>
      </c>
      <c r="C485" s="71" t="s">
        <v>837</v>
      </c>
      <c r="D485" s="72"/>
      <c r="E485" s="72"/>
      <c r="F485" s="75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52"/>
      <c r="T485" s="52"/>
    </row>
    <row r="486" spans="1:20" s="56" customFormat="1" ht="48" x14ac:dyDescent="0.2">
      <c r="A486" s="96" t="s">
        <v>838</v>
      </c>
      <c r="B486" s="80">
        <v>44256</v>
      </c>
      <c r="C486" s="74" t="s">
        <v>839</v>
      </c>
      <c r="D486" s="73" t="s">
        <v>102</v>
      </c>
      <c r="E486" s="75">
        <v>1</v>
      </c>
      <c r="F486" s="75">
        <f t="shared" ref="F486:F491" si="130">ROUND(T486*$T$10,2)</f>
        <v>1679.04</v>
      </c>
      <c r="G486" s="75">
        <f t="shared" ref="G486:G491" si="131">ROUND(F486*(1+$U$1),2)</f>
        <v>2142.29</v>
      </c>
      <c r="H486" s="76">
        <f t="shared" ref="H486:H491" si="132">ROUND(E486*G486,2)</f>
        <v>2142.29</v>
      </c>
      <c r="I486" s="75"/>
      <c r="J486" s="75"/>
      <c r="K486" s="75">
        <f t="shared" ref="K486:K491" si="133">E486-I486</f>
        <v>1</v>
      </c>
      <c r="L486" s="76">
        <f t="shared" ref="L486:L491" si="134">ROUND(E486*F486,2)</f>
        <v>1679.04</v>
      </c>
      <c r="M486" s="76">
        <f t="shared" ref="M486:M491" si="135">I486*G486</f>
        <v>0</v>
      </c>
      <c r="N486" s="76">
        <f t="shared" ref="N486:N491" si="136">J486*G486</f>
        <v>0</v>
      </c>
      <c r="O486" s="76">
        <f t="shared" ref="O486:O491" si="137">H486-N486</f>
        <v>2142.29</v>
      </c>
      <c r="P486" s="76"/>
      <c r="Q486" s="51"/>
      <c r="T486" s="51">
        <v>1679.04</v>
      </c>
    </row>
    <row r="487" spans="1:20" s="56" customFormat="1" ht="36" x14ac:dyDescent="0.2">
      <c r="A487" s="73" t="s">
        <v>840</v>
      </c>
      <c r="B487" s="80">
        <v>44257</v>
      </c>
      <c r="C487" s="74" t="s">
        <v>841</v>
      </c>
      <c r="D487" s="73" t="s">
        <v>102</v>
      </c>
      <c r="E487" s="75">
        <v>1</v>
      </c>
      <c r="F487" s="75">
        <f t="shared" si="130"/>
        <v>214.05</v>
      </c>
      <c r="G487" s="75">
        <f t="shared" si="131"/>
        <v>273.11</v>
      </c>
      <c r="H487" s="76">
        <f t="shared" si="132"/>
        <v>273.11</v>
      </c>
      <c r="I487" s="75"/>
      <c r="J487" s="75"/>
      <c r="K487" s="75">
        <f t="shared" si="133"/>
        <v>1</v>
      </c>
      <c r="L487" s="76">
        <f t="shared" si="134"/>
        <v>214.05</v>
      </c>
      <c r="M487" s="76">
        <f t="shared" si="135"/>
        <v>0</v>
      </c>
      <c r="N487" s="76">
        <f t="shared" si="136"/>
        <v>0</v>
      </c>
      <c r="O487" s="76">
        <f t="shared" si="137"/>
        <v>273.11</v>
      </c>
      <c r="P487" s="76"/>
      <c r="Q487" s="51"/>
      <c r="T487" s="53">
        <v>214.05</v>
      </c>
    </row>
    <row r="488" spans="1:20" s="56" customFormat="1" ht="36" x14ac:dyDescent="0.2">
      <c r="A488" s="73" t="s">
        <v>842</v>
      </c>
      <c r="B488" s="80">
        <v>44258</v>
      </c>
      <c r="C488" s="74" t="s">
        <v>843</v>
      </c>
      <c r="D488" s="73" t="s">
        <v>102</v>
      </c>
      <c r="E488" s="75">
        <v>2</v>
      </c>
      <c r="F488" s="75">
        <f t="shared" si="130"/>
        <v>320</v>
      </c>
      <c r="G488" s="75">
        <f t="shared" si="131"/>
        <v>408.29</v>
      </c>
      <c r="H488" s="76">
        <f t="shared" si="132"/>
        <v>816.58</v>
      </c>
      <c r="I488" s="75"/>
      <c r="J488" s="75"/>
      <c r="K488" s="75">
        <f t="shared" si="133"/>
        <v>2</v>
      </c>
      <c r="L488" s="76">
        <f t="shared" si="134"/>
        <v>640</v>
      </c>
      <c r="M488" s="76">
        <f t="shared" si="135"/>
        <v>0</v>
      </c>
      <c r="N488" s="76">
        <f t="shared" si="136"/>
        <v>0</v>
      </c>
      <c r="O488" s="76">
        <f t="shared" si="137"/>
        <v>816.58</v>
      </c>
      <c r="P488" s="76"/>
      <c r="Q488" s="51"/>
      <c r="T488" s="53">
        <v>320</v>
      </c>
    </row>
    <row r="489" spans="1:20" s="56" customFormat="1" ht="36" x14ac:dyDescent="0.2">
      <c r="A489" s="73" t="s">
        <v>842</v>
      </c>
      <c r="B489" s="80">
        <v>44259</v>
      </c>
      <c r="C489" s="74" t="s">
        <v>844</v>
      </c>
      <c r="D489" s="73" t="s">
        <v>102</v>
      </c>
      <c r="E489" s="75">
        <v>1</v>
      </c>
      <c r="F489" s="75">
        <f t="shared" si="130"/>
        <v>320</v>
      </c>
      <c r="G489" s="75">
        <f t="shared" si="131"/>
        <v>408.29</v>
      </c>
      <c r="H489" s="76">
        <f t="shared" si="132"/>
        <v>408.29</v>
      </c>
      <c r="I489" s="75"/>
      <c r="J489" s="75"/>
      <c r="K489" s="75">
        <f t="shared" si="133"/>
        <v>1</v>
      </c>
      <c r="L489" s="76">
        <f t="shared" si="134"/>
        <v>320</v>
      </c>
      <c r="M489" s="76">
        <f t="shared" si="135"/>
        <v>0</v>
      </c>
      <c r="N489" s="76">
        <f t="shared" si="136"/>
        <v>0</v>
      </c>
      <c r="O489" s="76">
        <f t="shared" si="137"/>
        <v>408.29</v>
      </c>
      <c r="P489" s="76"/>
      <c r="Q489" s="51"/>
      <c r="T489" s="53">
        <v>320</v>
      </c>
    </row>
    <row r="490" spans="1:20" s="56" customFormat="1" ht="36" x14ac:dyDescent="0.2">
      <c r="A490" s="73" t="s">
        <v>842</v>
      </c>
      <c r="B490" s="80">
        <v>44260</v>
      </c>
      <c r="C490" s="74" t="s">
        <v>845</v>
      </c>
      <c r="D490" s="73" t="s">
        <v>102</v>
      </c>
      <c r="E490" s="75">
        <v>1</v>
      </c>
      <c r="F490" s="75">
        <f t="shared" si="130"/>
        <v>320</v>
      </c>
      <c r="G490" s="75">
        <f t="shared" si="131"/>
        <v>408.29</v>
      </c>
      <c r="H490" s="76">
        <f t="shared" si="132"/>
        <v>408.29</v>
      </c>
      <c r="I490" s="75"/>
      <c r="J490" s="75"/>
      <c r="K490" s="75">
        <f t="shared" si="133"/>
        <v>1</v>
      </c>
      <c r="L490" s="76">
        <f t="shared" si="134"/>
        <v>320</v>
      </c>
      <c r="M490" s="76">
        <f t="shared" si="135"/>
        <v>0</v>
      </c>
      <c r="N490" s="76">
        <f t="shared" si="136"/>
        <v>0</v>
      </c>
      <c r="O490" s="76">
        <f t="shared" si="137"/>
        <v>408.29</v>
      </c>
      <c r="P490" s="76"/>
      <c r="Q490" s="51"/>
      <c r="T490" s="53">
        <v>320</v>
      </c>
    </row>
    <row r="491" spans="1:20" s="56" customFormat="1" ht="12" x14ac:dyDescent="0.2">
      <c r="A491" s="73" t="s">
        <v>308</v>
      </c>
      <c r="B491" s="80">
        <v>44261</v>
      </c>
      <c r="C491" s="74" t="s">
        <v>846</v>
      </c>
      <c r="D491" s="73" t="s">
        <v>102</v>
      </c>
      <c r="E491" s="75">
        <v>1</v>
      </c>
      <c r="F491" s="75">
        <f t="shared" si="130"/>
        <v>282.57</v>
      </c>
      <c r="G491" s="75">
        <f t="shared" si="131"/>
        <v>360.53</v>
      </c>
      <c r="H491" s="76">
        <f t="shared" si="132"/>
        <v>360.53</v>
      </c>
      <c r="I491" s="75"/>
      <c r="J491" s="75"/>
      <c r="K491" s="75">
        <f t="shared" si="133"/>
        <v>1</v>
      </c>
      <c r="L491" s="76">
        <f t="shared" si="134"/>
        <v>282.57</v>
      </c>
      <c r="M491" s="76">
        <f t="shared" si="135"/>
        <v>0</v>
      </c>
      <c r="N491" s="76">
        <f t="shared" si="136"/>
        <v>0</v>
      </c>
      <c r="O491" s="76">
        <f t="shared" si="137"/>
        <v>360.53</v>
      </c>
      <c r="P491" s="76"/>
      <c r="Q491" s="51"/>
      <c r="T491" s="53">
        <v>282.57</v>
      </c>
    </row>
    <row r="492" spans="1:20" s="56" customFormat="1" ht="12" x14ac:dyDescent="0.2">
      <c r="A492" s="72"/>
      <c r="B492" s="71"/>
      <c r="C492" s="71"/>
      <c r="D492" s="71"/>
      <c r="E492" s="71"/>
      <c r="F492" s="75"/>
      <c r="G492" s="77" t="s">
        <v>847</v>
      </c>
      <c r="H492" s="86">
        <f>SUM(H486:H491)</f>
        <v>4409.09</v>
      </c>
      <c r="I492" s="71"/>
      <c r="J492" s="71"/>
      <c r="K492" s="71"/>
      <c r="L492" s="86">
        <f>SUM(L486:L491)</f>
        <v>3455.6600000000003</v>
      </c>
      <c r="M492" s="86">
        <f>SUM(M486:M491)</f>
        <v>0</v>
      </c>
      <c r="N492" s="86">
        <f>SUM(N486:N491)</f>
        <v>0</v>
      </c>
      <c r="O492" s="86">
        <f>SUM(O486:O491)</f>
        <v>4409.09</v>
      </c>
      <c r="P492" s="86"/>
      <c r="Q492" s="62"/>
      <c r="T492" s="59"/>
    </row>
    <row r="493" spans="1:20" s="56" customFormat="1" ht="12" x14ac:dyDescent="0.2">
      <c r="A493" s="72"/>
      <c r="B493" s="70" t="s">
        <v>848</v>
      </c>
      <c r="C493" s="71" t="s">
        <v>849</v>
      </c>
      <c r="D493" s="72"/>
      <c r="E493" s="72"/>
      <c r="F493" s="75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52"/>
      <c r="T493" s="52"/>
    </row>
    <row r="494" spans="1:20" s="56" customFormat="1" ht="48" x14ac:dyDescent="0.2">
      <c r="A494" s="73" t="s">
        <v>842</v>
      </c>
      <c r="B494" s="80">
        <v>44287</v>
      </c>
      <c r="C494" s="74" t="s">
        <v>850</v>
      </c>
      <c r="D494" s="73" t="s">
        <v>102</v>
      </c>
      <c r="E494" s="75">
        <v>2</v>
      </c>
      <c r="F494" s="75">
        <f>ROUND(T494*$T$10,2)</f>
        <v>320</v>
      </c>
      <c r="G494" s="75">
        <f>ROUND(F494*(1+$U$1),2)</f>
        <v>408.29</v>
      </c>
      <c r="H494" s="76">
        <f>ROUND(E494*G494,2)</f>
        <v>816.58</v>
      </c>
      <c r="I494" s="75"/>
      <c r="J494" s="75"/>
      <c r="K494" s="75">
        <f>E494-I494</f>
        <v>2</v>
      </c>
      <c r="L494" s="76">
        <f>ROUND(E494*F494,2)</f>
        <v>640</v>
      </c>
      <c r="M494" s="76">
        <f>I494*G494</f>
        <v>0</v>
      </c>
      <c r="N494" s="76">
        <f>J494*G494</f>
        <v>0</v>
      </c>
      <c r="O494" s="76">
        <f>H494-N494</f>
        <v>816.58</v>
      </c>
      <c r="P494" s="76"/>
      <c r="Q494" s="51"/>
      <c r="T494" s="53">
        <v>320</v>
      </c>
    </row>
    <row r="495" spans="1:20" s="56" customFormat="1" ht="48" x14ac:dyDescent="0.2">
      <c r="A495" s="73" t="s">
        <v>851</v>
      </c>
      <c r="B495" s="80">
        <v>44288</v>
      </c>
      <c r="C495" s="74" t="s">
        <v>852</v>
      </c>
      <c r="D495" s="73" t="s">
        <v>102</v>
      </c>
      <c r="E495" s="75">
        <v>1</v>
      </c>
      <c r="F495" s="75">
        <f>ROUND(T495*$T$10,2)</f>
        <v>950.49</v>
      </c>
      <c r="G495" s="75">
        <f>ROUND(F495*(1+$U$1),2)</f>
        <v>1212.73</v>
      </c>
      <c r="H495" s="76">
        <f>ROUND(E495*G495,2)</f>
        <v>1212.73</v>
      </c>
      <c r="I495" s="75"/>
      <c r="J495" s="75"/>
      <c r="K495" s="75">
        <f>E495-I495</f>
        <v>1</v>
      </c>
      <c r="L495" s="76">
        <f>ROUND(E495*F495,2)</f>
        <v>950.49</v>
      </c>
      <c r="M495" s="76">
        <f>I495*G495</f>
        <v>0</v>
      </c>
      <c r="N495" s="76">
        <f>J495*G495</f>
        <v>0</v>
      </c>
      <c r="O495" s="76">
        <f>H495-N495</f>
        <v>1212.73</v>
      </c>
      <c r="P495" s="76"/>
      <c r="Q495" s="51"/>
      <c r="T495" s="53">
        <v>950.49</v>
      </c>
    </row>
    <row r="496" spans="1:20" s="56" customFormat="1" ht="60" x14ac:dyDescent="0.2">
      <c r="A496" s="73" t="s">
        <v>853</v>
      </c>
      <c r="B496" s="80">
        <v>44289</v>
      </c>
      <c r="C496" s="82" t="s">
        <v>864</v>
      </c>
      <c r="D496" s="73" t="s">
        <v>102</v>
      </c>
      <c r="E496" s="75">
        <v>1</v>
      </c>
      <c r="F496" s="75">
        <f>ROUND(T496*$T$10,2)</f>
        <v>1309.99</v>
      </c>
      <c r="G496" s="75">
        <f>ROUND(F496*(1+$U$1),2)</f>
        <v>1671.42</v>
      </c>
      <c r="H496" s="76">
        <f>ROUND(E496*G496,2)</f>
        <v>1671.42</v>
      </c>
      <c r="I496" s="75"/>
      <c r="J496" s="75"/>
      <c r="K496" s="75">
        <f>E496-I496</f>
        <v>1</v>
      </c>
      <c r="L496" s="76">
        <f>ROUND(E496*F496,2)</f>
        <v>1309.99</v>
      </c>
      <c r="M496" s="76">
        <f>I496*G496</f>
        <v>0</v>
      </c>
      <c r="N496" s="76">
        <f>J496*G496</f>
        <v>0</v>
      </c>
      <c r="O496" s="76">
        <f>H496-N496</f>
        <v>1671.42</v>
      </c>
      <c r="P496" s="76"/>
      <c r="Q496" s="51"/>
      <c r="T496" s="51">
        <v>1309.99</v>
      </c>
    </row>
    <row r="497" spans="1:20" s="56" customFormat="1" ht="12" x14ac:dyDescent="0.2">
      <c r="A497" s="72"/>
      <c r="B497" s="71"/>
      <c r="C497" s="71"/>
      <c r="D497" s="71"/>
      <c r="E497" s="71"/>
      <c r="F497" s="75"/>
      <c r="G497" s="77" t="s">
        <v>854</v>
      </c>
      <c r="H497" s="78">
        <f>SUM(H494:H496)</f>
        <v>3700.73</v>
      </c>
      <c r="I497" s="71"/>
      <c r="J497" s="71"/>
      <c r="K497" s="71"/>
      <c r="L497" s="78">
        <f>SUM(L494:L496)</f>
        <v>2900.48</v>
      </c>
      <c r="M497" s="78">
        <f>SUM(M494:M496)</f>
        <v>0</v>
      </c>
      <c r="N497" s="78">
        <f>SUM(N494:N496)</f>
        <v>0</v>
      </c>
      <c r="O497" s="78">
        <f>SUM(O494:O496)</f>
        <v>3700.73</v>
      </c>
      <c r="P497" s="78"/>
      <c r="Q497" s="60"/>
      <c r="T497" s="59"/>
    </row>
    <row r="498" spans="1:20" s="56" customFormat="1" ht="12" x14ac:dyDescent="0.2">
      <c r="A498" s="72"/>
      <c r="B498" s="70" t="s">
        <v>855</v>
      </c>
      <c r="C498" s="71" t="s">
        <v>856</v>
      </c>
      <c r="D498" s="72"/>
      <c r="E498" s="72"/>
      <c r="F498" s="75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52"/>
      <c r="T498" s="52"/>
    </row>
    <row r="499" spans="1:20" s="56" customFormat="1" ht="12" x14ac:dyDescent="0.2">
      <c r="A499" s="94">
        <v>2504</v>
      </c>
      <c r="B499" s="80">
        <v>44317</v>
      </c>
      <c r="C499" s="74" t="s">
        <v>857</v>
      </c>
      <c r="D499" s="73" t="s">
        <v>81</v>
      </c>
      <c r="E499" s="75">
        <v>160</v>
      </c>
      <c r="F499" s="75">
        <f t="shared" ref="F499:F510" si="138">ROUND(T499*$T$10,2)</f>
        <v>5.51</v>
      </c>
      <c r="G499" s="75">
        <f t="shared" ref="G499:G510" si="139">ROUND(F499*(1+$U$1),2)</f>
        <v>7.03</v>
      </c>
      <c r="H499" s="76">
        <f t="shared" ref="H499:H510" si="140">ROUND(E499*G499,2)</f>
        <v>1124.8</v>
      </c>
      <c r="I499" s="75"/>
      <c r="J499" s="75"/>
      <c r="K499" s="75">
        <f t="shared" ref="K499:K510" si="141">E499-I499</f>
        <v>160</v>
      </c>
      <c r="L499" s="76">
        <f t="shared" ref="L499:L510" si="142">ROUND(E499*F499,2)</f>
        <v>881.6</v>
      </c>
      <c r="M499" s="76">
        <f t="shared" ref="M499:M510" si="143">I499*G499</f>
        <v>0</v>
      </c>
      <c r="N499" s="76">
        <f t="shared" ref="N499:N510" si="144">J499*G499</f>
        <v>0</v>
      </c>
      <c r="O499" s="76">
        <f t="shared" ref="O499:O510" si="145">H499-N499</f>
        <v>1124.8</v>
      </c>
      <c r="P499" s="76"/>
      <c r="Q499" s="51"/>
      <c r="T499" s="53">
        <v>5.51</v>
      </c>
    </row>
    <row r="500" spans="1:20" s="56" customFormat="1" ht="12" x14ac:dyDescent="0.2">
      <c r="A500" s="94">
        <v>91844</v>
      </c>
      <c r="B500" s="80">
        <v>44318</v>
      </c>
      <c r="C500" s="74" t="s">
        <v>858</v>
      </c>
      <c r="D500" s="73" t="s">
        <v>81</v>
      </c>
      <c r="E500" s="76">
        <v>1250</v>
      </c>
      <c r="F500" s="75">
        <f t="shared" si="138"/>
        <v>4.1500000000000004</v>
      </c>
      <c r="G500" s="75">
        <f t="shared" si="139"/>
        <v>5.29</v>
      </c>
      <c r="H500" s="76">
        <f t="shared" si="140"/>
        <v>6612.5</v>
      </c>
      <c r="I500" s="76"/>
      <c r="J500" s="76"/>
      <c r="K500" s="75">
        <f t="shared" si="141"/>
        <v>1250</v>
      </c>
      <c r="L500" s="76">
        <f t="shared" si="142"/>
        <v>5187.5</v>
      </c>
      <c r="M500" s="76">
        <f t="shared" si="143"/>
        <v>0</v>
      </c>
      <c r="N500" s="76">
        <f t="shared" si="144"/>
        <v>0</v>
      </c>
      <c r="O500" s="76">
        <f t="shared" si="145"/>
        <v>6612.5</v>
      </c>
      <c r="P500" s="76"/>
      <c r="Q500" s="51"/>
      <c r="T500" s="53">
        <v>4.1500000000000004</v>
      </c>
    </row>
    <row r="501" spans="1:20" s="56" customFormat="1" ht="12" x14ac:dyDescent="0.2">
      <c r="A501" s="94">
        <v>91846</v>
      </c>
      <c r="B501" s="80">
        <v>44319</v>
      </c>
      <c r="C501" s="74" t="s">
        <v>859</v>
      </c>
      <c r="D501" s="73" t="s">
        <v>81</v>
      </c>
      <c r="E501" s="75">
        <v>200</v>
      </c>
      <c r="F501" s="75">
        <f t="shared" si="138"/>
        <v>5.77</v>
      </c>
      <c r="G501" s="75">
        <f t="shared" si="139"/>
        <v>7.36</v>
      </c>
      <c r="H501" s="76">
        <f t="shared" si="140"/>
        <v>1472</v>
      </c>
      <c r="I501" s="75"/>
      <c r="J501" s="75"/>
      <c r="K501" s="75">
        <f t="shared" si="141"/>
        <v>200</v>
      </c>
      <c r="L501" s="76">
        <f t="shared" si="142"/>
        <v>1154</v>
      </c>
      <c r="M501" s="76">
        <f t="shared" si="143"/>
        <v>0</v>
      </c>
      <c r="N501" s="76">
        <f t="shared" si="144"/>
        <v>0</v>
      </c>
      <c r="O501" s="76">
        <f t="shared" si="145"/>
        <v>1472</v>
      </c>
      <c r="P501" s="76"/>
      <c r="Q501" s="51"/>
      <c r="T501" s="53">
        <v>5.77</v>
      </c>
    </row>
    <row r="502" spans="1:20" s="56" customFormat="1" ht="24" x14ac:dyDescent="0.2">
      <c r="A502" s="73" t="s">
        <v>78</v>
      </c>
      <c r="B502" s="80">
        <v>44320</v>
      </c>
      <c r="C502" s="74" t="s">
        <v>860</v>
      </c>
      <c r="D502" s="73" t="s">
        <v>102</v>
      </c>
      <c r="E502" s="75">
        <v>25</v>
      </c>
      <c r="F502" s="75">
        <f t="shared" si="138"/>
        <v>44.63</v>
      </c>
      <c r="G502" s="75">
        <f t="shared" si="139"/>
        <v>56.94</v>
      </c>
      <c r="H502" s="76">
        <f t="shared" si="140"/>
        <v>1423.5</v>
      </c>
      <c r="I502" s="75"/>
      <c r="J502" s="75"/>
      <c r="K502" s="75">
        <f t="shared" si="141"/>
        <v>25</v>
      </c>
      <c r="L502" s="76">
        <f t="shared" si="142"/>
        <v>1115.75</v>
      </c>
      <c r="M502" s="76">
        <f t="shared" si="143"/>
        <v>0</v>
      </c>
      <c r="N502" s="76">
        <f t="shared" si="144"/>
        <v>0</v>
      </c>
      <c r="O502" s="76">
        <f t="shared" si="145"/>
        <v>1423.5</v>
      </c>
      <c r="P502" s="76"/>
      <c r="Q502" s="51"/>
      <c r="T502" s="53">
        <v>44.63</v>
      </c>
    </row>
    <row r="503" spans="1:20" s="56" customFormat="1" ht="24" x14ac:dyDescent="0.2">
      <c r="A503" s="94">
        <v>39246</v>
      </c>
      <c r="B503" s="80">
        <v>44321</v>
      </c>
      <c r="C503" s="74" t="s">
        <v>861</v>
      </c>
      <c r="D503" s="73" t="s">
        <v>81</v>
      </c>
      <c r="E503" s="75">
        <v>30</v>
      </c>
      <c r="F503" s="75">
        <f t="shared" si="138"/>
        <v>2.0299999999999998</v>
      </c>
      <c r="G503" s="75">
        <f t="shared" si="139"/>
        <v>2.59</v>
      </c>
      <c r="H503" s="76">
        <f t="shared" si="140"/>
        <v>77.7</v>
      </c>
      <c r="I503" s="75"/>
      <c r="J503" s="75"/>
      <c r="K503" s="75">
        <f t="shared" si="141"/>
        <v>30</v>
      </c>
      <c r="L503" s="76">
        <f t="shared" si="142"/>
        <v>60.9</v>
      </c>
      <c r="M503" s="76">
        <f t="shared" si="143"/>
        <v>0</v>
      </c>
      <c r="N503" s="76">
        <f t="shared" si="144"/>
        <v>0</v>
      </c>
      <c r="O503" s="76">
        <f t="shared" si="145"/>
        <v>77.7</v>
      </c>
      <c r="P503" s="76"/>
      <c r="Q503" s="51"/>
      <c r="T503" s="53">
        <v>2.0299999999999998</v>
      </c>
    </row>
    <row r="504" spans="1:20" s="56" customFormat="1" ht="24" x14ac:dyDescent="0.2">
      <c r="A504" s="94">
        <v>2446</v>
      </c>
      <c r="B504" s="80">
        <v>44322</v>
      </c>
      <c r="C504" s="74" t="s">
        <v>862</v>
      </c>
      <c r="D504" s="73" t="s">
        <v>81</v>
      </c>
      <c r="E504" s="75">
        <v>55</v>
      </c>
      <c r="F504" s="75">
        <f t="shared" si="138"/>
        <v>2.93</v>
      </c>
      <c r="G504" s="75">
        <f t="shared" si="139"/>
        <v>3.74</v>
      </c>
      <c r="H504" s="76">
        <f t="shared" si="140"/>
        <v>205.7</v>
      </c>
      <c r="I504" s="75"/>
      <c r="J504" s="75"/>
      <c r="K504" s="75">
        <f t="shared" si="141"/>
        <v>55</v>
      </c>
      <c r="L504" s="76">
        <f t="shared" si="142"/>
        <v>161.15</v>
      </c>
      <c r="M504" s="76">
        <f t="shared" si="143"/>
        <v>0</v>
      </c>
      <c r="N504" s="76">
        <f t="shared" si="144"/>
        <v>0</v>
      </c>
      <c r="O504" s="76">
        <f t="shared" si="145"/>
        <v>205.7</v>
      </c>
      <c r="P504" s="76"/>
      <c r="Q504" s="51"/>
      <c r="T504" s="53">
        <v>2.93</v>
      </c>
    </row>
    <row r="505" spans="1:20" s="56" customFormat="1" ht="24" x14ac:dyDescent="0.2">
      <c r="A505" s="94">
        <v>2442</v>
      </c>
      <c r="B505" s="80">
        <v>44323</v>
      </c>
      <c r="C505" s="74" t="s">
        <v>865</v>
      </c>
      <c r="D505" s="73" t="s">
        <v>81</v>
      </c>
      <c r="E505" s="75">
        <v>60</v>
      </c>
      <c r="F505" s="75">
        <f t="shared" si="138"/>
        <v>4.0999999999999996</v>
      </c>
      <c r="G505" s="75">
        <f t="shared" si="139"/>
        <v>5.23</v>
      </c>
      <c r="H505" s="76">
        <f t="shared" si="140"/>
        <v>313.8</v>
      </c>
      <c r="I505" s="75"/>
      <c r="J505" s="75"/>
      <c r="K505" s="75">
        <f t="shared" si="141"/>
        <v>60</v>
      </c>
      <c r="L505" s="76">
        <f t="shared" si="142"/>
        <v>246</v>
      </c>
      <c r="M505" s="76">
        <f t="shared" si="143"/>
        <v>0</v>
      </c>
      <c r="N505" s="76">
        <f t="shared" si="144"/>
        <v>0</v>
      </c>
      <c r="O505" s="76">
        <f t="shared" si="145"/>
        <v>313.8</v>
      </c>
      <c r="P505" s="76"/>
      <c r="Q505" s="51"/>
      <c r="T505" s="53">
        <v>4.0999999999999996</v>
      </c>
    </row>
    <row r="506" spans="1:20" s="56" customFormat="1" ht="24" x14ac:dyDescent="0.2">
      <c r="A506" s="94">
        <v>39248</v>
      </c>
      <c r="B506" s="80">
        <v>44324</v>
      </c>
      <c r="C506" s="74" t="s">
        <v>866</v>
      </c>
      <c r="D506" s="73" t="s">
        <v>81</v>
      </c>
      <c r="E506" s="75">
        <v>60</v>
      </c>
      <c r="F506" s="75">
        <f t="shared" si="138"/>
        <v>5.71</v>
      </c>
      <c r="G506" s="75">
        <f t="shared" si="139"/>
        <v>7.29</v>
      </c>
      <c r="H506" s="76">
        <f t="shared" si="140"/>
        <v>437.4</v>
      </c>
      <c r="I506" s="75"/>
      <c r="J506" s="75"/>
      <c r="K506" s="75">
        <f t="shared" si="141"/>
        <v>60</v>
      </c>
      <c r="L506" s="76">
        <f t="shared" si="142"/>
        <v>342.6</v>
      </c>
      <c r="M506" s="76">
        <f t="shared" si="143"/>
        <v>0</v>
      </c>
      <c r="N506" s="76">
        <f t="shared" si="144"/>
        <v>0</v>
      </c>
      <c r="O506" s="76">
        <f t="shared" si="145"/>
        <v>437.4</v>
      </c>
      <c r="P506" s="76"/>
      <c r="Q506" s="51"/>
      <c r="T506" s="53">
        <v>5.71</v>
      </c>
    </row>
    <row r="507" spans="1:20" s="56" customFormat="1" ht="24" x14ac:dyDescent="0.2">
      <c r="A507" s="73" t="s">
        <v>308</v>
      </c>
      <c r="B507" s="80">
        <v>44325</v>
      </c>
      <c r="C507" s="74" t="s">
        <v>867</v>
      </c>
      <c r="D507" s="73" t="s">
        <v>81</v>
      </c>
      <c r="E507" s="75">
        <v>200</v>
      </c>
      <c r="F507" s="75">
        <f t="shared" si="138"/>
        <v>9.8699999999999992</v>
      </c>
      <c r="G507" s="75">
        <f t="shared" si="139"/>
        <v>12.59</v>
      </c>
      <c r="H507" s="76">
        <f t="shared" si="140"/>
        <v>2518</v>
      </c>
      <c r="I507" s="75"/>
      <c r="J507" s="75"/>
      <c r="K507" s="75">
        <f t="shared" si="141"/>
        <v>200</v>
      </c>
      <c r="L507" s="76">
        <f t="shared" si="142"/>
        <v>1974</v>
      </c>
      <c r="M507" s="76">
        <f t="shared" si="143"/>
        <v>0</v>
      </c>
      <c r="N507" s="76">
        <f t="shared" si="144"/>
        <v>0</v>
      </c>
      <c r="O507" s="76">
        <f t="shared" si="145"/>
        <v>2518</v>
      </c>
      <c r="P507" s="76"/>
      <c r="Q507" s="51"/>
      <c r="T507" s="53">
        <v>9.8699999999999992</v>
      </c>
    </row>
    <row r="508" spans="1:20" s="56" customFormat="1" ht="12" x14ac:dyDescent="0.2">
      <c r="A508" s="94">
        <v>39272</v>
      </c>
      <c r="B508" s="87">
        <v>40319</v>
      </c>
      <c r="C508" s="74" t="s">
        <v>868</v>
      </c>
      <c r="D508" s="73" t="s">
        <v>102</v>
      </c>
      <c r="E508" s="75">
        <v>180</v>
      </c>
      <c r="F508" s="75">
        <f t="shared" si="138"/>
        <v>1.47</v>
      </c>
      <c r="G508" s="75">
        <f t="shared" si="139"/>
        <v>1.88</v>
      </c>
      <c r="H508" s="76">
        <f t="shared" si="140"/>
        <v>338.4</v>
      </c>
      <c r="I508" s="75"/>
      <c r="J508" s="75"/>
      <c r="K508" s="75">
        <f t="shared" si="141"/>
        <v>180</v>
      </c>
      <c r="L508" s="76">
        <f t="shared" si="142"/>
        <v>264.60000000000002</v>
      </c>
      <c r="M508" s="76">
        <f t="shared" si="143"/>
        <v>0</v>
      </c>
      <c r="N508" s="76">
        <f t="shared" si="144"/>
        <v>0</v>
      </c>
      <c r="O508" s="76">
        <f t="shared" si="145"/>
        <v>338.4</v>
      </c>
      <c r="P508" s="76"/>
      <c r="Q508" s="51"/>
      <c r="T508" s="53">
        <v>1.47</v>
      </c>
    </row>
    <row r="509" spans="1:20" s="56" customFormat="1" ht="12" x14ac:dyDescent="0.2">
      <c r="A509" s="73" t="s">
        <v>308</v>
      </c>
      <c r="B509" s="87">
        <v>40684</v>
      </c>
      <c r="C509" s="74" t="s">
        <v>869</v>
      </c>
      <c r="D509" s="73" t="s">
        <v>102</v>
      </c>
      <c r="E509" s="75">
        <v>800</v>
      </c>
      <c r="F509" s="75">
        <f t="shared" si="138"/>
        <v>1.1200000000000001</v>
      </c>
      <c r="G509" s="75">
        <f t="shared" si="139"/>
        <v>1.43</v>
      </c>
      <c r="H509" s="76">
        <f t="shared" si="140"/>
        <v>1144</v>
      </c>
      <c r="I509" s="75"/>
      <c r="J509" s="75"/>
      <c r="K509" s="75">
        <f t="shared" si="141"/>
        <v>800</v>
      </c>
      <c r="L509" s="76">
        <f t="shared" si="142"/>
        <v>896</v>
      </c>
      <c r="M509" s="76">
        <f t="shared" si="143"/>
        <v>0</v>
      </c>
      <c r="N509" s="76">
        <f t="shared" si="144"/>
        <v>0</v>
      </c>
      <c r="O509" s="76">
        <f t="shared" si="145"/>
        <v>1144</v>
      </c>
      <c r="P509" s="76"/>
      <c r="Q509" s="51"/>
      <c r="T509" s="53">
        <v>1.1200000000000001</v>
      </c>
    </row>
    <row r="510" spans="1:20" s="56" customFormat="1" ht="12" x14ac:dyDescent="0.2">
      <c r="A510" s="73" t="s">
        <v>308</v>
      </c>
      <c r="B510" s="87">
        <v>41050</v>
      </c>
      <c r="C510" s="74" t="s">
        <v>870</v>
      </c>
      <c r="D510" s="73" t="s">
        <v>102</v>
      </c>
      <c r="E510" s="75">
        <v>120</v>
      </c>
      <c r="F510" s="75">
        <f t="shared" si="138"/>
        <v>2.2400000000000002</v>
      </c>
      <c r="G510" s="75">
        <f t="shared" si="139"/>
        <v>2.86</v>
      </c>
      <c r="H510" s="76">
        <f t="shared" si="140"/>
        <v>343.2</v>
      </c>
      <c r="I510" s="75"/>
      <c r="J510" s="75"/>
      <c r="K510" s="75">
        <f t="shared" si="141"/>
        <v>120</v>
      </c>
      <c r="L510" s="76">
        <f t="shared" si="142"/>
        <v>268.8</v>
      </c>
      <c r="M510" s="76">
        <f t="shared" si="143"/>
        <v>0</v>
      </c>
      <c r="N510" s="76">
        <f t="shared" si="144"/>
        <v>0</v>
      </c>
      <c r="O510" s="76">
        <f t="shared" si="145"/>
        <v>343.2</v>
      </c>
      <c r="P510" s="76"/>
      <c r="Q510" s="51"/>
      <c r="T510" s="53">
        <v>2.2400000000000002</v>
      </c>
    </row>
    <row r="511" spans="1:20" s="56" customFormat="1" ht="12" x14ac:dyDescent="0.2">
      <c r="A511" s="72"/>
      <c r="B511" s="71"/>
      <c r="C511" s="71"/>
      <c r="D511" s="71"/>
      <c r="E511" s="71"/>
      <c r="F511" s="75"/>
      <c r="G511" s="77" t="s">
        <v>871</v>
      </c>
      <c r="H511" s="78">
        <f>SUM(H499:H510)</f>
        <v>16011</v>
      </c>
      <c r="I511" s="71"/>
      <c r="J511" s="71"/>
      <c r="K511" s="71"/>
      <c r="L511" s="78">
        <f>SUM(L499:L510)</f>
        <v>12552.9</v>
      </c>
      <c r="M511" s="78">
        <f>SUM(M499:M510)</f>
        <v>0</v>
      </c>
      <c r="N511" s="78">
        <f>SUM(N499:N510)</f>
        <v>0</v>
      </c>
      <c r="O511" s="78">
        <f>SUM(O499:O510)</f>
        <v>16011</v>
      </c>
      <c r="P511" s="78"/>
      <c r="Q511" s="60"/>
      <c r="T511" s="59"/>
    </row>
    <row r="512" spans="1:20" s="56" customFormat="1" ht="12" x14ac:dyDescent="0.2">
      <c r="A512" s="72"/>
      <c r="B512" s="70" t="s">
        <v>872</v>
      </c>
      <c r="C512" s="71" t="s">
        <v>873</v>
      </c>
      <c r="D512" s="72"/>
      <c r="E512" s="72"/>
      <c r="F512" s="75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52"/>
      <c r="T512" s="52"/>
    </row>
    <row r="513" spans="1:20" s="56" customFormat="1" ht="48" x14ac:dyDescent="0.2">
      <c r="A513" s="72"/>
      <c r="B513" s="69"/>
      <c r="C513" s="74" t="s">
        <v>874</v>
      </c>
      <c r="D513" s="72"/>
      <c r="E513" s="72"/>
      <c r="F513" s="75"/>
      <c r="G513" s="72"/>
      <c r="H513" s="72"/>
      <c r="I513" s="72"/>
      <c r="J513" s="72"/>
      <c r="K513" s="72"/>
      <c r="L513" s="72"/>
      <c r="M513" s="76">
        <f>I513*G513</f>
        <v>0</v>
      </c>
      <c r="N513" s="76">
        <f>J513*G513</f>
        <v>0</v>
      </c>
      <c r="O513" s="76">
        <f>H513-N513</f>
        <v>0</v>
      </c>
      <c r="P513" s="72"/>
      <c r="Q513" s="52"/>
      <c r="T513" s="52"/>
    </row>
    <row r="514" spans="1:20" s="56" customFormat="1" ht="12" x14ac:dyDescent="0.2">
      <c r="A514" s="95">
        <v>1014</v>
      </c>
      <c r="B514" s="80">
        <v>44348</v>
      </c>
      <c r="C514" s="74" t="s">
        <v>875</v>
      </c>
      <c r="D514" s="73" t="s">
        <v>81</v>
      </c>
      <c r="E514" s="76">
        <v>7200</v>
      </c>
      <c r="F514" s="75">
        <f>ROUND(T514*$T$10,2)</f>
        <v>1.03</v>
      </c>
      <c r="G514" s="75">
        <f>ROUND(F514*(1+$U$1),2)</f>
        <v>1.31</v>
      </c>
      <c r="H514" s="76">
        <f>ROUND(E514*G514,2)</f>
        <v>9432</v>
      </c>
      <c r="I514" s="76"/>
      <c r="J514" s="76"/>
      <c r="K514" s="75">
        <f>E514-I514</f>
        <v>7200</v>
      </c>
      <c r="L514" s="76">
        <f>ROUND(E514*F514,2)</f>
        <v>7416</v>
      </c>
      <c r="M514" s="76">
        <f>I514*G514</f>
        <v>0</v>
      </c>
      <c r="N514" s="76">
        <f>J514*G514</f>
        <v>0</v>
      </c>
      <c r="O514" s="76">
        <f>H514-N514</f>
        <v>9432</v>
      </c>
      <c r="P514" s="76"/>
      <c r="Q514" s="51"/>
      <c r="T514" s="53">
        <v>1.03</v>
      </c>
    </row>
    <row r="515" spans="1:20" s="56" customFormat="1" ht="12" x14ac:dyDescent="0.2">
      <c r="A515" s="95">
        <v>981</v>
      </c>
      <c r="B515" s="80">
        <v>44349</v>
      </c>
      <c r="C515" s="74" t="s">
        <v>876</v>
      </c>
      <c r="D515" s="73" t="s">
        <v>81</v>
      </c>
      <c r="E515" s="75">
        <v>750</v>
      </c>
      <c r="F515" s="75">
        <f>ROUND(T515*$T$10,2)</f>
        <v>1.84</v>
      </c>
      <c r="G515" s="75">
        <f>ROUND(F515*(1+$U$1),2)</f>
        <v>2.35</v>
      </c>
      <c r="H515" s="76">
        <f>ROUND(E515*G515,2)</f>
        <v>1762.5</v>
      </c>
      <c r="I515" s="75"/>
      <c r="J515" s="75"/>
      <c r="K515" s="75">
        <f>E515-I515</f>
        <v>750</v>
      </c>
      <c r="L515" s="76">
        <f>ROUND(E515*F515,2)</f>
        <v>1380</v>
      </c>
      <c r="M515" s="76">
        <f>I515*G515</f>
        <v>0</v>
      </c>
      <c r="N515" s="76">
        <f>J515*G515</f>
        <v>0</v>
      </c>
      <c r="O515" s="76">
        <f>H515-N515</f>
        <v>1762.5</v>
      </c>
      <c r="P515" s="76"/>
      <c r="Q515" s="51"/>
      <c r="T515" s="53">
        <v>1.84</v>
      </c>
    </row>
    <row r="516" spans="1:20" s="56" customFormat="1" ht="12" x14ac:dyDescent="0.2">
      <c r="A516" s="95">
        <v>982</v>
      </c>
      <c r="B516" s="80">
        <v>44350</v>
      </c>
      <c r="C516" s="74" t="s">
        <v>877</v>
      </c>
      <c r="D516" s="73" t="s">
        <v>81</v>
      </c>
      <c r="E516" s="75">
        <v>300</v>
      </c>
      <c r="F516" s="75">
        <f>ROUND(T516*$T$10,2)</f>
        <v>2.57</v>
      </c>
      <c r="G516" s="75">
        <f>ROUND(F516*(1+$U$1),2)</f>
        <v>3.28</v>
      </c>
      <c r="H516" s="76">
        <f>ROUND(E516*G516,2)</f>
        <v>984</v>
      </c>
      <c r="I516" s="75"/>
      <c r="J516" s="75"/>
      <c r="K516" s="75">
        <f>E516-I516</f>
        <v>300</v>
      </c>
      <c r="L516" s="76">
        <f>ROUND(E516*F516,2)</f>
        <v>771</v>
      </c>
      <c r="M516" s="76">
        <f>I516*G516</f>
        <v>0</v>
      </c>
      <c r="N516" s="76">
        <f>J516*G516</f>
        <v>0</v>
      </c>
      <c r="O516" s="76">
        <f>H516-N516</f>
        <v>984</v>
      </c>
      <c r="P516" s="76"/>
      <c r="Q516" s="51"/>
      <c r="T516" s="53">
        <v>2.57</v>
      </c>
    </row>
    <row r="517" spans="1:20" s="56" customFormat="1" ht="48" x14ac:dyDescent="0.2">
      <c r="A517" s="72"/>
      <c r="B517" s="69"/>
      <c r="C517" s="74" t="s">
        <v>878</v>
      </c>
      <c r="D517" s="72"/>
      <c r="E517" s="72"/>
      <c r="F517" s="75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52"/>
      <c r="T517" s="52"/>
    </row>
    <row r="518" spans="1:20" s="56" customFormat="1" ht="12" x14ac:dyDescent="0.2">
      <c r="A518" s="95">
        <v>994</v>
      </c>
      <c r="B518" s="80">
        <v>44351</v>
      </c>
      <c r="C518" s="74" t="s">
        <v>877</v>
      </c>
      <c r="D518" s="73" t="s">
        <v>81</v>
      </c>
      <c r="E518" s="75">
        <v>400</v>
      </c>
      <c r="F518" s="75">
        <f t="shared" ref="F518:F523" si="146">ROUND(T518*$T$10,2)</f>
        <v>3</v>
      </c>
      <c r="G518" s="75">
        <f t="shared" ref="G518:G523" si="147">ROUND(F518*(1+$U$1),2)</f>
        <v>3.83</v>
      </c>
      <c r="H518" s="76">
        <f t="shared" ref="H518:H523" si="148">ROUND(E518*G518,2)</f>
        <v>1532</v>
      </c>
      <c r="I518" s="75"/>
      <c r="J518" s="75"/>
      <c r="K518" s="75">
        <f t="shared" ref="K518:K523" si="149">E518-I518</f>
        <v>400</v>
      </c>
      <c r="L518" s="76">
        <f t="shared" ref="L518:L523" si="150">ROUND(E518*F518,2)</f>
        <v>1200</v>
      </c>
      <c r="M518" s="76">
        <f t="shared" ref="M518:M523" si="151">I518*G518</f>
        <v>0</v>
      </c>
      <c r="N518" s="76">
        <f t="shared" ref="N518:N523" si="152">J518*G518</f>
        <v>0</v>
      </c>
      <c r="O518" s="76">
        <f t="shared" ref="O518:O523" si="153">H518-N518</f>
        <v>1532</v>
      </c>
      <c r="P518" s="76"/>
      <c r="Q518" s="51"/>
      <c r="T518" s="53">
        <v>3</v>
      </c>
    </row>
    <row r="519" spans="1:20" s="56" customFormat="1" ht="12" x14ac:dyDescent="0.2">
      <c r="A519" s="95">
        <v>1020</v>
      </c>
      <c r="B519" s="80">
        <v>44352</v>
      </c>
      <c r="C519" s="74" t="s">
        <v>879</v>
      </c>
      <c r="D519" s="73" t="s">
        <v>81</v>
      </c>
      <c r="E519" s="75">
        <v>100</v>
      </c>
      <c r="F519" s="75">
        <f t="shared" si="146"/>
        <v>4.8</v>
      </c>
      <c r="G519" s="75">
        <f t="shared" si="147"/>
        <v>6.12</v>
      </c>
      <c r="H519" s="76">
        <f t="shared" si="148"/>
        <v>612</v>
      </c>
      <c r="I519" s="75"/>
      <c r="J519" s="75"/>
      <c r="K519" s="75">
        <f t="shared" si="149"/>
        <v>100</v>
      </c>
      <c r="L519" s="76">
        <f t="shared" si="150"/>
        <v>480</v>
      </c>
      <c r="M519" s="76">
        <f t="shared" si="151"/>
        <v>0</v>
      </c>
      <c r="N519" s="76">
        <f t="shared" si="152"/>
        <v>0</v>
      </c>
      <c r="O519" s="76">
        <f t="shared" si="153"/>
        <v>612</v>
      </c>
      <c r="P519" s="76"/>
      <c r="Q519" s="51"/>
      <c r="T519" s="53">
        <v>4.8</v>
      </c>
    </row>
    <row r="520" spans="1:20" s="56" customFormat="1" ht="12" x14ac:dyDescent="0.2">
      <c r="A520" s="95">
        <v>995</v>
      </c>
      <c r="B520" s="80">
        <v>44353</v>
      </c>
      <c r="C520" s="74" t="s">
        <v>880</v>
      </c>
      <c r="D520" s="73" t="s">
        <v>81</v>
      </c>
      <c r="E520" s="75">
        <v>500</v>
      </c>
      <c r="F520" s="75">
        <f t="shared" si="146"/>
        <v>7.37</v>
      </c>
      <c r="G520" s="75">
        <f t="shared" si="147"/>
        <v>9.4</v>
      </c>
      <c r="H520" s="76">
        <f t="shared" si="148"/>
        <v>4700</v>
      </c>
      <c r="I520" s="75"/>
      <c r="J520" s="75"/>
      <c r="K520" s="75">
        <f t="shared" si="149"/>
        <v>500</v>
      </c>
      <c r="L520" s="76">
        <f t="shared" si="150"/>
        <v>3685</v>
      </c>
      <c r="M520" s="76">
        <f t="shared" si="151"/>
        <v>0</v>
      </c>
      <c r="N520" s="76">
        <f t="shared" si="152"/>
        <v>0</v>
      </c>
      <c r="O520" s="76">
        <f t="shared" si="153"/>
        <v>4700</v>
      </c>
      <c r="P520" s="76"/>
      <c r="Q520" s="51"/>
      <c r="T520" s="53">
        <v>7.37</v>
      </c>
    </row>
    <row r="521" spans="1:20" s="56" customFormat="1" ht="12" x14ac:dyDescent="0.2">
      <c r="A521" s="95">
        <v>996</v>
      </c>
      <c r="B521" s="80">
        <v>44354</v>
      </c>
      <c r="C521" s="74" t="s">
        <v>881</v>
      </c>
      <c r="D521" s="73" t="s">
        <v>81</v>
      </c>
      <c r="E521" s="75">
        <v>25</v>
      </c>
      <c r="F521" s="75">
        <f t="shared" si="146"/>
        <v>11.21</v>
      </c>
      <c r="G521" s="75">
        <f t="shared" si="147"/>
        <v>14.3</v>
      </c>
      <c r="H521" s="76">
        <f t="shared" si="148"/>
        <v>357.5</v>
      </c>
      <c r="I521" s="75"/>
      <c r="J521" s="75"/>
      <c r="K521" s="75">
        <f t="shared" si="149"/>
        <v>25</v>
      </c>
      <c r="L521" s="76">
        <f t="shared" si="150"/>
        <v>280.25</v>
      </c>
      <c r="M521" s="76">
        <f t="shared" si="151"/>
        <v>0</v>
      </c>
      <c r="N521" s="76">
        <f t="shared" si="152"/>
        <v>0</v>
      </c>
      <c r="O521" s="76">
        <f t="shared" si="153"/>
        <v>357.5</v>
      </c>
      <c r="P521" s="76"/>
      <c r="Q521" s="51"/>
      <c r="T521" s="53">
        <v>11.21</v>
      </c>
    </row>
    <row r="522" spans="1:20" s="56" customFormat="1" ht="12" x14ac:dyDescent="0.2">
      <c r="A522" s="95">
        <v>1019</v>
      </c>
      <c r="B522" s="80">
        <v>44355</v>
      </c>
      <c r="C522" s="74" t="s">
        <v>882</v>
      </c>
      <c r="D522" s="73" t="s">
        <v>81</v>
      </c>
      <c r="E522" s="75">
        <v>125</v>
      </c>
      <c r="F522" s="75">
        <f t="shared" si="146"/>
        <v>15.46</v>
      </c>
      <c r="G522" s="75">
        <f t="shared" si="147"/>
        <v>19.73</v>
      </c>
      <c r="H522" s="76">
        <f t="shared" si="148"/>
        <v>2466.25</v>
      </c>
      <c r="I522" s="75"/>
      <c r="J522" s="75"/>
      <c r="K522" s="75">
        <f t="shared" si="149"/>
        <v>125</v>
      </c>
      <c r="L522" s="76">
        <f t="shared" si="150"/>
        <v>1932.5</v>
      </c>
      <c r="M522" s="76">
        <f t="shared" si="151"/>
        <v>0</v>
      </c>
      <c r="N522" s="76">
        <f t="shared" si="152"/>
        <v>0</v>
      </c>
      <c r="O522" s="76">
        <f t="shared" si="153"/>
        <v>2466.25</v>
      </c>
      <c r="P522" s="76"/>
      <c r="Q522" s="51"/>
      <c r="T522" s="53">
        <v>15.46</v>
      </c>
    </row>
    <row r="523" spans="1:20" s="56" customFormat="1" ht="12" x14ac:dyDescent="0.2">
      <c r="A523" s="95">
        <v>1018</v>
      </c>
      <c r="B523" s="80">
        <v>44356</v>
      </c>
      <c r="C523" s="74" t="s">
        <v>883</v>
      </c>
      <c r="D523" s="73" t="s">
        <v>81</v>
      </c>
      <c r="E523" s="75">
        <v>130</v>
      </c>
      <c r="F523" s="75">
        <f t="shared" si="146"/>
        <v>22.04</v>
      </c>
      <c r="G523" s="75">
        <f t="shared" si="147"/>
        <v>28.12</v>
      </c>
      <c r="H523" s="76">
        <f t="shared" si="148"/>
        <v>3655.6</v>
      </c>
      <c r="I523" s="75"/>
      <c r="J523" s="75"/>
      <c r="K523" s="75">
        <f t="shared" si="149"/>
        <v>130</v>
      </c>
      <c r="L523" s="76">
        <f t="shared" si="150"/>
        <v>2865.2</v>
      </c>
      <c r="M523" s="76">
        <f t="shared" si="151"/>
        <v>0</v>
      </c>
      <c r="N523" s="76">
        <f t="shared" si="152"/>
        <v>0</v>
      </c>
      <c r="O523" s="76">
        <f t="shared" si="153"/>
        <v>3655.6</v>
      </c>
      <c r="P523" s="76"/>
      <c r="Q523" s="51"/>
      <c r="T523" s="53">
        <v>22.04</v>
      </c>
    </row>
    <row r="524" spans="1:20" s="56" customFormat="1" ht="36" x14ac:dyDescent="0.2">
      <c r="A524" s="72"/>
      <c r="B524" s="69"/>
      <c r="C524" s="74" t="s">
        <v>884</v>
      </c>
      <c r="D524" s="72"/>
      <c r="E524" s="72"/>
      <c r="F524" s="75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52"/>
      <c r="T524" s="52"/>
    </row>
    <row r="525" spans="1:20" s="56" customFormat="1" ht="12" x14ac:dyDescent="0.2">
      <c r="A525" s="94">
        <v>39257</v>
      </c>
      <c r="B525" s="87">
        <v>40350</v>
      </c>
      <c r="C525" s="74" t="s">
        <v>885</v>
      </c>
      <c r="D525" s="73" t="s">
        <v>81</v>
      </c>
      <c r="E525" s="75">
        <v>50</v>
      </c>
      <c r="F525" s="75">
        <f>ROUND(T525*$T$10,2)</f>
        <v>2.81</v>
      </c>
      <c r="G525" s="75">
        <f>ROUND(F525*(1+$U$1),2)</f>
        <v>3.59</v>
      </c>
      <c r="H525" s="76">
        <f>ROUND(E525*G525,2)</f>
        <v>179.5</v>
      </c>
      <c r="I525" s="75"/>
      <c r="J525" s="75"/>
      <c r="K525" s="75">
        <f>E525-I525</f>
        <v>50</v>
      </c>
      <c r="L525" s="76">
        <f>ROUND(E525*F525,2)</f>
        <v>140.5</v>
      </c>
      <c r="M525" s="76">
        <f>I525*G525</f>
        <v>0</v>
      </c>
      <c r="N525" s="76">
        <f>J525*G525</f>
        <v>0</v>
      </c>
      <c r="O525" s="76">
        <f>H525-N525</f>
        <v>179.5</v>
      </c>
      <c r="P525" s="76"/>
      <c r="Q525" s="51"/>
      <c r="T525" s="53">
        <v>2.81</v>
      </c>
    </row>
    <row r="526" spans="1:20" s="56" customFormat="1" ht="12" x14ac:dyDescent="0.2">
      <c r="A526" s="94">
        <v>39258</v>
      </c>
      <c r="B526" s="87">
        <v>40715</v>
      </c>
      <c r="C526" s="74" t="s">
        <v>886</v>
      </c>
      <c r="D526" s="73" t="s">
        <v>81</v>
      </c>
      <c r="E526" s="75">
        <v>60</v>
      </c>
      <c r="F526" s="75">
        <f>ROUND(T526*$T$10,2)</f>
        <v>4.17</v>
      </c>
      <c r="G526" s="75">
        <f>ROUND(F526*(1+$U$1),2)</f>
        <v>5.32</v>
      </c>
      <c r="H526" s="76">
        <f>ROUND(E526*G526,2)</f>
        <v>319.2</v>
      </c>
      <c r="I526" s="75"/>
      <c r="J526" s="75"/>
      <c r="K526" s="75">
        <f>E526-I526</f>
        <v>60</v>
      </c>
      <c r="L526" s="76">
        <f>ROUND(E526*F526,2)</f>
        <v>250.2</v>
      </c>
      <c r="M526" s="76">
        <f>I526*G526</f>
        <v>0</v>
      </c>
      <c r="N526" s="76">
        <f>J526*G526</f>
        <v>0</v>
      </c>
      <c r="O526" s="76">
        <f>H526-N526</f>
        <v>319.2</v>
      </c>
      <c r="P526" s="76"/>
      <c r="Q526" s="51"/>
      <c r="T526" s="53">
        <v>4.17</v>
      </c>
    </row>
    <row r="527" spans="1:20" s="56" customFormat="1" ht="12" x14ac:dyDescent="0.2">
      <c r="A527" s="72"/>
      <c r="B527" s="71"/>
      <c r="C527" s="71"/>
      <c r="D527" s="71"/>
      <c r="E527" s="71"/>
      <c r="F527" s="75"/>
      <c r="G527" s="77" t="s">
        <v>887</v>
      </c>
      <c r="H527" s="78">
        <f>SUM(H514:H526)</f>
        <v>26000.55</v>
      </c>
      <c r="I527" s="71"/>
      <c r="J527" s="71"/>
      <c r="K527" s="71"/>
      <c r="L527" s="78">
        <f>SUM(L514:L526)</f>
        <v>20400.650000000001</v>
      </c>
      <c r="M527" s="78">
        <f>SUM(M514:M526)</f>
        <v>0</v>
      </c>
      <c r="N527" s="78">
        <f>SUM(N514:N526)</f>
        <v>0</v>
      </c>
      <c r="O527" s="78">
        <f>SUM(O514:O526)</f>
        <v>26000.55</v>
      </c>
      <c r="P527" s="78"/>
      <c r="Q527" s="60"/>
      <c r="T527" s="59"/>
    </row>
    <row r="528" spans="1:20" s="56" customFormat="1" ht="12" x14ac:dyDescent="0.2">
      <c r="A528" s="72"/>
      <c r="B528" s="70" t="s">
        <v>888</v>
      </c>
      <c r="C528" s="71" t="s">
        <v>889</v>
      </c>
      <c r="D528" s="72"/>
      <c r="E528" s="72"/>
      <c r="F528" s="75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52"/>
      <c r="T528" s="52"/>
    </row>
    <row r="529" spans="1:20" s="56" customFormat="1" ht="12" x14ac:dyDescent="0.2">
      <c r="A529" s="94">
        <v>2574</v>
      </c>
      <c r="B529" s="80">
        <v>44378</v>
      </c>
      <c r="C529" s="74" t="s">
        <v>890</v>
      </c>
      <c r="D529" s="73" t="s">
        <v>102</v>
      </c>
      <c r="E529" s="75">
        <v>8</v>
      </c>
      <c r="F529" s="75">
        <f t="shared" ref="F529:F541" si="154">ROUND(T529*$T$10,2)</f>
        <v>8.1999999999999993</v>
      </c>
      <c r="G529" s="75">
        <f t="shared" ref="G529:G541" si="155">ROUND(F529*(1+$U$1),2)</f>
        <v>10.46</v>
      </c>
      <c r="H529" s="76">
        <f t="shared" ref="H529:H541" si="156">ROUND(E529*G529,2)</f>
        <v>83.68</v>
      </c>
      <c r="I529" s="75"/>
      <c r="J529" s="75"/>
      <c r="K529" s="75">
        <f t="shared" ref="K529:K541" si="157">E529-I529</f>
        <v>8</v>
      </c>
      <c r="L529" s="76">
        <f t="shared" ref="L529:L541" si="158">ROUND(E529*F529,2)</f>
        <v>65.599999999999994</v>
      </c>
      <c r="M529" s="76">
        <f t="shared" ref="M529:M541" si="159">I529*G529</f>
        <v>0</v>
      </c>
      <c r="N529" s="76">
        <f t="shared" ref="N529:N541" si="160">J529*G529</f>
        <v>0</v>
      </c>
      <c r="O529" s="76">
        <f t="shared" ref="O529:O541" si="161">H529-N529</f>
        <v>83.68</v>
      </c>
      <c r="P529" s="76"/>
      <c r="Q529" s="51"/>
      <c r="T529" s="53">
        <v>8.1999999999999993</v>
      </c>
    </row>
    <row r="530" spans="1:20" s="56" customFormat="1" ht="12" x14ac:dyDescent="0.2">
      <c r="A530" s="94">
        <v>2559</v>
      </c>
      <c r="B530" s="80">
        <v>44379</v>
      </c>
      <c r="C530" s="74" t="s">
        <v>891</v>
      </c>
      <c r="D530" s="73" t="s">
        <v>102</v>
      </c>
      <c r="E530" s="75">
        <v>12</v>
      </c>
      <c r="F530" s="75">
        <f t="shared" si="154"/>
        <v>8.5</v>
      </c>
      <c r="G530" s="75">
        <f t="shared" si="155"/>
        <v>10.85</v>
      </c>
      <c r="H530" s="76">
        <f t="shared" si="156"/>
        <v>130.19999999999999</v>
      </c>
      <c r="I530" s="75"/>
      <c r="J530" s="75"/>
      <c r="K530" s="75">
        <f t="shared" si="157"/>
        <v>12</v>
      </c>
      <c r="L530" s="76">
        <f t="shared" si="158"/>
        <v>102</v>
      </c>
      <c r="M530" s="76">
        <f t="shared" si="159"/>
        <v>0</v>
      </c>
      <c r="N530" s="76">
        <f t="shared" si="160"/>
        <v>0</v>
      </c>
      <c r="O530" s="76">
        <f t="shared" si="161"/>
        <v>130.19999999999999</v>
      </c>
      <c r="P530" s="76"/>
      <c r="Q530" s="51"/>
      <c r="T530" s="53">
        <v>8.5</v>
      </c>
    </row>
    <row r="531" spans="1:20" s="56" customFormat="1" ht="12" x14ac:dyDescent="0.2">
      <c r="A531" s="94">
        <v>2565</v>
      </c>
      <c r="B531" s="80">
        <v>44380</v>
      </c>
      <c r="C531" s="74" t="s">
        <v>892</v>
      </c>
      <c r="D531" s="73" t="s">
        <v>102</v>
      </c>
      <c r="E531" s="75">
        <v>14</v>
      </c>
      <c r="F531" s="75">
        <f t="shared" si="154"/>
        <v>6.88</v>
      </c>
      <c r="G531" s="75">
        <f t="shared" si="155"/>
        <v>8.7799999999999994</v>
      </c>
      <c r="H531" s="76">
        <f t="shared" si="156"/>
        <v>122.92</v>
      </c>
      <c r="I531" s="75"/>
      <c r="J531" s="75"/>
      <c r="K531" s="75">
        <f t="shared" si="157"/>
        <v>14</v>
      </c>
      <c r="L531" s="76">
        <f t="shared" si="158"/>
        <v>96.32</v>
      </c>
      <c r="M531" s="76">
        <f t="shared" si="159"/>
        <v>0</v>
      </c>
      <c r="N531" s="76">
        <f t="shared" si="160"/>
        <v>0</v>
      </c>
      <c r="O531" s="76">
        <f t="shared" si="161"/>
        <v>122.92</v>
      </c>
      <c r="P531" s="76"/>
      <c r="Q531" s="51"/>
      <c r="T531" s="53">
        <v>6.88</v>
      </c>
    </row>
    <row r="532" spans="1:20" s="56" customFormat="1" ht="12" x14ac:dyDescent="0.2">
      <c r="A532" s="94">
        <v>2580</v>
      </c>
      <c r="B532" s="80">
        <v>44381</v>
      </c>
      <c r="C532" s="74" t="s">
        <v>893</v>
      </c>
      <c r="D532" s="73" t="s">
        <v>102</v>
      </c>
      <c r="E532" s="75">
        <v>3</v>
      </c>
      <c r="F532" s="75">
        <f t="shared" si="154"/>
        <v>10.83</v>
      </c>
      <c r="G532" s="75">
        <f t="shared" si="155"/>
        <v>13.82</v>
      </c>
      <c r="H532" s="76">
        <f t="shared" si="156"/>
        <v>41.46</v>
      </c>
      <c r="I532" s="75"/>
      <c r="J532" s="75"/>
      <c r="K532" s="75">
        <f t="shared" si="157"/>
        <v>3</v>
      </c>
      <c r="L532" s="76">
        <f t="shared" si="158"/>
        <v>32.49</v>
      </c>
      <c r="M532" s="76">
        <f t="shared" si="159"/>
        <v>0</v>
      </c>
      <c r="N532" s="76">
        <f t="shared" si="160"/>
        <v>0</v>
      </c>
      <c r="O532" s="76">
        <f t="shared" si="161"/>
        <v>41.46</v>
      </c>
      <c r="P532" s="76"/>
      <c r="Q532" s="51"/>
      <c r="T532" s="53">
        <v>10.83</v>
      </c>
    </row>
    <row r="533" spans="1:20" s="56" customFormat="1" ht="12" x14ac:dyDescent="0.2">
      <c r="A533" s="94">
        <v>2593</v>
      </c>
      <c r="B533" s="80">
        <v>44382</v>
      </c>
      <c r="C533" s="74" t="s">
        <v>894</v>
      </c>
      <c r="D533" s="73" t="s">
        <v>102</v>
      </c>
      <c r="E533" s="75">
        <v>5</v>
      </c>
      <c r="F533" s="75">
        <f t="shared" si="154"/>
        <v>7.11</v>
      </c>
      <c r="G533" s="75">
        <f t="shared" si="155"/>
        <v>9.07</v>
      </c>
      <c r="H533" s="76">
        <f t="shared" si="156"/>
        <v>45.35</v>
      </c>
      <c r="I533" s="75"/>
      <c r="J533" s="75"/>
      <c r="K533" s="75">
        <f t="shared" si="157"/>
        <v>5</v>
      </c>
      <c r="L533" s="76">
        <f t="shared" si="158"/>
        <v>35.549999999999997</v>
      </c>
      <c r="M533" s="76">
        <f t="shared" si="159"/>
        <v>0</v>
      </c>
      <c r="N533" s="76">
        <f t="shared" si="160"/>
        <v>0</v>
      </c>
      <c r="O533" s="76">
        <f t="shared" si="161"/>
        <v>45.35</v>
      </c>
      <c r="P533" s="76"/>
      <c r="Q533" s="51"/>
      <c r="T533" s="53">
        <v>7.11</v>
      </c>
    </row>
    <row r="534" spans="1:20" s="56" customFormat="1" ht="24" x14ac:dyDescent="0.2">
      <c r="A534" s="94">
        <v>39346</v>
      </c>
      <c r="B534" s="80">
        <v>44383</v>
      </c>
      <c r="C534" s="74" t="s">
        <v>895</v>
      </c>
      <c r="D534" s="73" t="s">
        <v>102</v>
      </c>
      <c r="E534" s="75">
        <v>8</v>
      </c>
      <c r="F534" s="75">
        <f t="shared" si="154"/>
        <v>2.09</v>
      </c>
      <c r="G534" s="75">
        <f t="shared" si="155"/>
        <v>2.67</v>
      </c>
      <c r="H534" s="76">
        <f t="shared" si="156"/>
        <v>21.36</v>
      </c>
      <c r="I534" s="75"/>
      <c r="J534" s="75"/>
      <c r="K534" s="75">
        <f t="shared" si="157"/>
        <v>8</v>
      </c>
      <c r="L534" s="76">
        <f t="shared" si="158"/>
        <v>16.72</v>
      </c>
      <c r="M534" s="76">
        <f t="shared" si="159"/>
        <v>0</v>
      </c>
      <c r="N534" s="76">
        <f t="shared" si="160"/>
        <v>0</v>
      </c>
      <c r="O534" s="76">
        <f t="shared" si="161"/>
        <v>21.36</v>
      </c>
      <c r="P534" s="76"/>
      <c r="Q534" s="51"/>
      <c r="T534" s="53">
        <v>2.09</v>
      </c>
    </row>
    <row r="535" spans="1:20" s="56" customFormat="1" ht="12" x14ac:dyDescent="0.2">
      <c r="A535" s="94">
        <v>7543</v>
      </c>
      <c r="B535" s="80">
        <v>44384</v>
      </c>
      <c r="C535" s="74" t="s">
        <v>896</v>
      </c>
      <c r="D535" s="73" t="s">
        <v>102</v>
      </c>
      <c r="E535" s="75">
        <v>14</v>
      </c>
      <c r="F535" s="75">
        <f t="shared" si="154"/>
        <v>3.39</v>
      </c>
      <c r="G535" s="75">
        <f t="shared" si="155"/>
        <v>4.33</v>
      </c>
      <c r="H535" s="76">
        <f t="shared" si="156"/>
        <v>60.62</v>
      </c>
      <c r="I535" s="75"/>
      <c r="J535" s="75"/>
      <c r="K535" s="75">
        <f t="shared" si="157"/>
        <v>14</v>
      </c>
      <c r="L535" s="76">
        <f t="shared" si="158"/>
        <v>47.46</v>
      </c>
      <c r="M535" s="76">
        <f t="shared" si="159"/>
        <v>0</v>
      </c>
      <c r="N535" s="76">
        <f t="shared" si="160"/>
        <v>0</v>
      </c>
      <c r="O535" s="76">
        <f t="shared" si="161"/>
        <v>60.62</v>
      </c>
      <c r="P535" s="76"/>
      <c r="Q535" s="51"/>
      <c r="T535" s="53">
        <v>3.39</v>
      </c>
    </row>
    <row r="536" spans="1:20" s="56" customFormat="1" ht="12" x14ac:dyDescent="0.2">
      <c r="A536" s="94">
        <v>39351</v>
      </c>
      <c r="B536" s="80">
        <v>44385</v>
      </c>
      <c r="C536" s="74" t="s">
        <v>897</v>
      </c>
      <c r="D536" s="73" t="s">
        <v>102</v>
      </c>
      <c r="E536" s="75">
        <v>20</v>
      </c>
      <c r="F536" s="75">
        <f t="shared" si="154"/>
        <v>2.6</v>
      </c>
      <c r="G536" s="75">
        <f t="shared" si="155"/>
        <v>3.32</v>
      </c>
      <c r="H536" s="76">
        <f t="shared" si="156"/>
        <v>66.400000000000006</v>
      </c>
      <c r="I536" s="75"/>
      <c r="J536" s="75"/>
      <c r="K536" s="75">
        <f t="shared" si="157"/>
        <v>20</v>
      </c>
      <c r="L536" s="76">
        <f t="shared" si="158"/>
        <v>52</v>
      </c>
      <c r="M536" s="76">
        <f t="shared" si="159"/>
        <v>0</v>
      </c>
      <c r="N536" s="76">
        <f t="shared" si="160"/>
        <v>0</v>
      </c>
      <c r="O536" s="76">
        <f t="shared" si="161"/>
        <v>66.400000000000006</v>
      </c>
      <c r="P536" s="76"/>
      <c r="Q536" s="51"/>
      <c r="T536" s="53">
        <v>2.6</v>
      </c>
    </row>
    <row r="537" spans="1:20" s="56" customFormat="1" ht="12" x14ac:dyDescent="0.2">
      <c r="A537" s="73" t="s">
        <v>308</v>
      </c>
      <c r="B537" s="80">
        <v>44386</v>
      </c>
      <c r="C537" s="74" t="s">
        <v>898</v>
      </c>
      <c r="D537" s="73" t="s">
        <v>102</v>
      </c>
      <c r="E537" s="75">
        <v>300</v>
      </c>
      <c r="F537" s="75">
        <f t="shared" si="154"/>
        <v>4.9000000000000004</v>
      </c>
      <c r="G537" s="75">
        <f t="shared" si="155"/>
        <v>6.25</v>
      </c>
      <c r="H537" s="76">
        <f t="shared" si="156"/>
        <v>1875</v>
      </c>
      <c r="I537" s="75"/>
      <c r="J537" s="75"/>
      <c r="K537" s="75">
        <f t="shared" si="157"/>
        <v>300</v>
      </c>
      <c r="L537" s="76">
        <f t="shared" si="158"/>
        <v>1470</v>
      </c>
      <c r="M537" s="76">
        <f t="shared" si="159"/>
        <v>0</v>
      </c>
      <c r="N537" s="76">
        <f t="shared" si="160"/>
        <v>0</v>
      </c>
      <c r="O537" s="76">
        <f t="shared" si="161"/>
        <v>1875</v>
      </c>
      <c r="P537" s="76"/>
      <c r="Q537" s="51"/>
      <c r="T537" s="53">
        <v>4.9000000000000004</v>
      </c>
    </row>
    <row r="538" spans="1:20" s="56" customFormat="1" ht="12" x14ac:dyDescent="0.2">
      <c r="A538" s="73" t="s">
        <v>308</v>
      </c>
      <c r="B538" s="87">
        <v>40380</v>
      </c>
      <c r="C538" s="74" t="s">
        <v>899</v>
      </c>
      <c r="D538" s="73" t="s">
        <v>102</v>
      </c>
      <c r="E538" s="75">
        <v>150</v>
      </c>
      <c r="F538" s="75">
        <f t="shared" si="154"/>
        <v>9.0500000000000007</v>
      </c>
      <c r="G538" s="75">
        <f t="shared" si="155"/>
        <v>11.55</v>
      </c>
      <c r="H538" s="76">
        <f t="shared" si="156"/>
        <v>1732.5</v>
      </c>
      <c r="I538" s="75"/>
      <c r="J538" s="75"/>
      <c r="K538" s="75">
        <f t="shared" si="157"/>
        <v>150</v>
      </c>
      <c r="L538" s="76">
        <f t="shared" si="158"/>
        <v>1357.5</v>
      </c>
      <c r="M538" s="76">
        <f t="shared" si="159"/>
        <v>0</v>
      </c>
      <c r="N538" s="76">
        <f t="shared" si="160"/>
        <v>0</v>
      </c>
      <c r="O538" s="76">
        <f t="shared" si="161"/>
        <v>1732.5</v>
      </c>
      <c r="P538" s="76"/>
      <c r="Q538" s="51"/>
      <c r="T538" s="53">
        <v>9.0500000000000007</v>
      </c>
    </row>
    <row r="539" spans="1:20" s="56" customFormat="1" ht="12" x14ac:dyDescent="0.2">
      <c r="A539" s="94">
        <v>39771</v>
      </c>
      <c r="B539" s="87">
        <v>40745</v>
      </c>
      <c r="C539" s="74" t="s">
        <v>900</v>
      </c>
      <c r="D539" s="73" t="s">
        <v>102</v>
      </c>
      <c r="E539" s="75">
        <v>3</v>
      </c>
      <c r="F539" s="75">
        <f t="shared" si="154"/>
        <v>15.43</v>
      </c>
      <c r="G539" s="75">
        <f t="shared" si="155"/>
        <v>19.690000000000001</v>
      </c>
      <c r="H539" s="76">
        <f t="shared" si="156"/>
        <v>59.07</v>
      </c>
      <c r="I539" s="75"/>
      <c r="J539" s="75"/>
      <c r="K539" s="75">
        <f t="shared" si="157"/>
        <v>3</v>
      </c>
      <c r="L539" s="76">
        <f t="shared" si="158"/>
        <v>46.29</v>
      </c>
      <c r="M539" s="76">
        <f t="shared" si="159"/>
        <v>0</v>
      </c>
      <c r="N539" s="76">
        <f t="shared" si="160"/>
        <v>0</v>
      </c>
      <c r="O539" s="76">
        <f t="shared" si="161"/>
        <v>59.07</v>
      </c>
      <c r="P539" s="76"/>
      <c r="Q539" s="51"/>
      <c r="T539" s="53">
        <v>15.43</v>
      </c>
    </row>
    <row r="540" spans="1:20" s="56" customFormat="1" ht="12" x14ac:dyDescent="0.2">
      <c r="A540" s="73" t="s">
        <v>901</v>
      </c>
      <c r="B540" s="87">
        <v>41111</v>
      </c>
      <c r="C540" s="74" t="s">
        <v>902</v>
      </c>
      <c r="D540" s="73" t="s">
        <v>102</v>
      </c>
      <c r="E540" s="75">
        <v>8</v>
      </c>
      <c r="F540" s="75">
        <f t="shared" si="154"/>
        <v>80.319999999999993</v>
      </c>
      <c r="G540" s="75">
        <f t="shared" si="155"/>
        <v>102.48</v>
      </c>
      <c r="H540" s="76">
        <f t="shared" si="156"/>
        <v>819.84</v>
      </c>
      <c r="I540" s="75"/>
      <c r="J540" s="75"/>
      <c r="K540" s="75">
        <f t="shared" si="157"/>
        <v>8</v>
      </c>
      <c r="L540" s="76">
        <f t="shared" si="158"/>
        <v>642.55999999999995</v>
      </c>
      <c r="M540" s="76">
        <f t="shared" si="159"/>
        <v>0</v>
      </c>
      <c r="N540" s="76">
        <f t="shared" si="160"/>
        <v>0</v>
      </c>
      <c r="O540" s="76">
        <f t="shared" si="161"/>
        <v>819.84</v>
      </c>
      <c r="P540" s="76"/>
      <c r="Q540" s="51"/>
      <c r="T540" s="53">
        <v>80.319999999999993</v>
      </c>
    </row>
    <row r="541" spans="1:20" s="56" customFormat="1" ht="12" x14ac:dyDescent="0.2">
      <c r="A541" s="73" t="s">
        <v>696</v>
      </c>
      <c r="B541" s="87">
        <v>41476</v>
      </c>
      <c r="C541" s="74" t="s">
        <v>903</v>
      </c>
      <c r="D541" s="73" t="s">
        <v>102</v>
      </c>
      <c r="E541" s="75">
        <v>8</v>
      </c>
      <c r="F541" s="75">
        <f t="shared" si="154"/>
        <v>165.35</v>
      </c>
      <c r="G541" s="75">
        <f t="shared" si="155"/>
        <v>210.97</v>
      </c>
      <c r="H541" s="76">
        <f t="shared" si="156"/>
        <v>1687.76</v>
      </c>
      <c r="I541" s="75"/>
      <c r="J541" s="75"/>
      <c r="K541" s="75">
        <f t="shared" si="157"/>
        <v>8</v>
      </c>
      <c r="L541" s="76">
        <f t="shared" si="158"/>
        <v>1322.8</v>
      </c>
      <c r="M541" s="76">
        <f t="shared" si="159"/>
        <v>0</v>
      </c>
      <c r="N541" s="76">
        <f t="shared" si="160"/>
        <v>0</v>
      </c>
      <c r="O541" s="76">
        <f t="shared" si="161"/>
        <v>1687.76</v>
      </c>
      <c r="P541" s="76"/>
      <c r="Q541" s="51"/>
      <c r="T541" s="53">
        <v>165.35</v>
      </c>
    </row>
    <row r="542" spans="1:20" s="56" customFormat="1" ht="12" x14ac:dyDescent="0.2">
      <c r="A542" s="72"/>
      <c r="B542" s="71"/>
      <c r="C542" s="71"/>
      <c r="D542" s="71"/>
      <c r="E542" s="71"/>
      <c r="F542" s="75"/>
      <c r="G542" s="77" t="s">
        <v>904</v>
      </c>
      <c r="H542" s="78">
        <f>SUM(H529:H541)</f>
        <v>6746.16</v>
      </c>
      <c r="I542" s="71"/>
      <c r="J542" s="71"/>
      <c r="K542" s="71"/>
      <c r="L542" s="78">
        <f>SUM(L529:L541)</f>
        <v>5287.29</v>
      </c>
      <c r="M542" s="78">
        <f>SUM(M529:M541)</f>
        <v>0</v>
      </c>
      <c r="N542" s="78">
        <f>SUM(N529:N541)</f>
        <v>0</v>
      </c>
      <c r="O542" s="78">
        <f>SUM(O529:O541)</f>
        <v>6746.16</v>
      </c>
      <c r="P542" s="78"/>
      <c r="Q542" s="60"/>
      <c r="T542" s="59"/>
    </row>
    <row r="543" spans="1:20" s="56" customFormat="1" ht="12" x14ac:dyDescent="0.2">
      <c r="A543" s="72"/>
      <c r="B543" s="70" t="s">
        <v>905</v>
      </c>
      <c r="C543" s="71" t="s">
        <v>906</v>
      </c>
      <c r="D543" s="72"/>
      <c r="E543" s="72"/>
      <c r="F543" s="75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52"/>
      <c r="T543" s="52"/>
    </row>
    <row r="544" spans="1:20" s="56" customFormat="1" ht="24" x14ac:dyDescent="0.2">
      <c r="A544" s="73" t="s">
        <v>308</v>
      </c>
      <c r="B544" s="80">
        <v>44409</v>
      </c>
      <c r="C544" s="74" t="s">
        <v>907</v>
      </c>
      <c r="D544" s="73" t="s">
        <v>102</v>
      </c>
      <c r="E544" s="75">
        <v>4</v>
      </c>
      <c r="F544" s="75">
        <f t="shared" ref="F544:F555" si="162">ROUND(T544*$T$10,2)</f>
        <v>53.79</v>
      </c>
      <c r="G544" s="75">
        <f t="shared" ref="G544:G555" si="163">ROUND(F544*(1+$U$1),2)</f>
        <v>68.63</v>
      </c>
      <c r="H544" s="76">
        <f t="shared" ref="H544:H555" si="164">ROUND(E544*G544,2)</f>
        <v>274.52</v>
      </c>
      <c r="I544" s="75"/>
      <c r="J544" s="75"/>
      <c r="K544" s="75">
        <f t="shared" ref="K544:K555" si="165">E544-I544</f>
        <v>4</v>
      </c>
      <c r="L544" s="76">
        <f t="shared" ref="L544:L555" si="166">ROUND(E544*F544,2)</f>
        <v>215.16</v>
      </c>
      <c r="M544" s="76">
        <f t="shared" ref="M544:M555" si="167">I544*G544</f>
        <v>0</v>
      </c>
      <c r="N544" s="76">
        <f t="shared" ref="N544:N555" si="168">J544*G544</f>
        <v>0</v>
      </c>
      <c r="O544" s="76">
        <f t="shared" ref="O544:O555" si="169">H544-N544</f>
        <v>274.52</v>
      </c>
      <c r="P544" s="76"/>
      <c r="Q544" s="51"/>
      <c r="T544" s="53">
        <v>53.79</v>
      </c>
    </row>
    <row r="545" spans="1:20" s="56" customFormat="1" ht="24" x14ac:dyDescent="0.2">
      <c r="A545" s="73" t="s">
        <v>308</v>
      </c>
      <c r="B545" s="80">
        <v>44410</v>
      </c>
      <c r="C545" s="74" t="s">
        <v>908</v>
      </c>
      <c r="D545" s="73" t="s">
        <v>102</v>
      </c>
      <c r="E545" s="75">
        <v>1</v>
      </c>
      <c r="F545" s="75">
        <f t="shared" si="162"/>
        <v>53.79</v>
      </c>
      <c r="G545" s="75">
        <f t="shared" si="163"/>
        <v>68.63</v>
      </c>
      <c r="H545" s="76">
        <f t="shared" si="164"/>
        <v>68.63</v>
      </c>
      <c r="I545" s="75"/>
      <c r="J545" s="75"/>
      <c r="K545" s="75">
        <f t="shared" si="165"/>
        <v>1</v>
      </c>
      <c r="L545" s="76">
        <f t="shared" si="166"/>
        <v>53.79</v>
      </c>
      <c r="M545" s="76">
        <f t="shared" si="167"/>
        <v>0</v>
      </c>
      <c r="N545" s="76">
        <f t="shared" si="168"/>
        <v>0</v>
      </c>
      <c r="O545" s="76">
        <f t="shared" si="169"/>
        <v>68.63</v>
      </c>
      <c r="P545" s="76"/>
      <c r="Q545" s="51"/>
      <c r="T545" s="53">
        <v>53.79</v>
      </c>
    </row>
    <row r="546" spans="1:20" s="56" customFormat="1" ht="12" x14ac:dyDescent="0.2">
      <c r="A546" s="73" t="s">
        <v>308</v>
      </c>
      <c r="B546" s="80">
        <v>44411</v>
      </c>
      <c r="C546" s="74" t="s">
        <v>909</v>
      </c>
      <c r="D546" s="73" t="s">
        <v>102</v>
      </c>
      <c r="E546" s="75">
        <v>1</v>
      </c>
      <c r="F546" s="75">
        <f t="shared" si="162"/>
        <v>115.99</v>
      </c>
      <c r="G546" s="75">
        <f t="shared" si="163"/>
        <v>147.99</v>
      </c>
      <c r="H546" s="76">
        <f t="shared" si="164"/>
        <v>147.99</v>
      </c>
      <c r="I546" s="75"/>
      <c r="J546" s="75"/>
      <c r="K546" s="75">
        <f t="shared" si="165"/>
        <v>1</v>
      </c>
      <c r="L546" s="76">
        <f t="shared" si="166"/>
        <v>115.99</v>
      </c>
      <c r="M546" s="76">
        <f t="shared" si="167"/>
        <v>0</v>
      </c>
      <c r="N546" s="76">
        <f t="shared" si="168"/>
        <v>0</v>
      </c>
      <c r="O546" s="76">
        <f t="shared" si="169"/>
        <v>147.99</v>
      </c>
      <c r="P546" s="76"/>
      <c r="Q546" s="51"/>
      <c r="T546" s="53">
        <v>115.99</v>
      </c>
    </row>
    <row r="547" spans="1:20" s="56" customFormat="1" ht="12" x14ac:dyDescent="0.2">
      <c r="A547" s="73" t="s">
        <v>308</v>
      </c>
      <c r="B547" s="80">
        <v>44412</v>
      </c>
      <c r="C547" s="74" t="s">
        <v>910</v>
      </c>
      <c r="D547" s="73" t="s">
        <v>102</v>
      </c>
      <c r="E547" s="75">
        <v>3</v>
      </c>
      <c r="F547" s="75">
        <f t="shared" si="162"/>
        <v>232.9</v>
      </c>
      <c r="G547" s="75">
        <f t="shared" si="163"/>
        <v>297.16000000000003</v>
      </c>
      <c r="H547" s="76">
        <f t="shared" si="164"/>
        <v>891.48</v>
      </c>
      <c r="I547" s="75"/>
      <c r="J547" s="75"/>
      <c r="K547" s="75">
        <f t="shared" si="165"/>
        <v>3</v>
      </c>
      <c r="L547" s="76">
        <f t="shared" si="166"/>
        <v>698.7</v>
      </c>
      <c r="M547" s="76">
        <f t="shared" si="167"/>
        <v>0</v>
      </c>
      <c r="N547" s="76">
        <f t="shared" si="168"/>
        <v>0</v>
      </c>
      <c r="O547" s="76">
        <f t="shared" si="169"/>
        <v>891.48</v>
      </c>
      <c r="P547" s="76"/>
      <c r="Q547" s="51"/>
      <c r="T547" s="53">
        <v>232.9</v>
      </c>
    </row>
    <row r="548" spans="1:20" s="56" customFormat="1" ht="24" x14ac:dyDescent="0.2">
      <c r="A548" s="73" t="s">
        <v>308</v>
      </c>
      <c r="B548" s="80">
        <v>44413</v>
      </c>
      <c r="C548" s="74" t="s">
        <v>911</v>
      </c>
      <c r="D548" s="73" t="s">
        <v>102</v>
      </c>
      <c r="E548" s="75">
        <v>1</v>
      </c>
      <c r="F548" s="75">
        <f t="shared" si="162"/>
        <v>120</v>
      </c>
      <c r="G548" s="75">
        <f t="shared" si="163"/>
        <v>153.11000000000001</v>
      </c>
      <c r="H548" s="76">
        <f t="shared" si="164"/>
        <v>153.11000000000001</v>
      </c>
      <c r="I548" s="75"/>
      <c r="J548" s="75"/>
      <c r="K548" s="75">
        <f t="shared" si="165"/>
        <v>1</v>
      </c>
      <c r="L548" s="76">
        <f t="shared" si="166"/>
        <v>120</v>
      </c>
      <c r="M548" s="76">
        <f t="shared" si="167"/>
        <v>0</v>
      </c>
      <c r="N548" s="76">
        <f t="shared" si="168"/>
        <v>0</v>
      </c>
      <c r="O548" s="76">
        <f t="shared" si="169"/>
        <v>153.11000000000001</v>
      </c>
      <c r="P548" s="76"/>
      <c r="Q548" s="51"/>
      <c r="T548" s="53">
        <v>120</v>
      </c>
    </row>
    <row r="549" spans="1:20" s="56" customFormat="1" ht="24" x14ac:dyDescent="0.2">
      <c r="A549" s="73" t="s">
        <v>308</v>
      </c>
      <c r="B549" s="80">
        <v>44414</v>
      </c>
      <c r="C549" s="74" t="s">
        <v>912</v>
      </c>
      <c r="D549" s="73" t="s">
        <v>102</v>
      </c>
      <c r="E549" s="75">
        <v>1</v>
      </c>
      <c r="F549" s="75">
        <f t="shared" si="162"/>
        <v>66.87</v>
      </c>
      <c r="G549" s="75">
        <f t="shared" si="163"/>
        <v>85.32</v>
      </c>
      <c r="H549" s="76">
        <f t="shared" si="164"/>
        <v>85.32</v>
      </c>
      <c r="I549" s="75"/>
      <c r="J549" s="75"/>
      <c r="K549" s="75">
        <f t="shared" si="165"/>
        <v>1</v>
      </c>
      <c r="L549" s="76">
        <f t="shared" si="166"/>
        <v>66.87</v>
      </c>
      <c r="M549" s="76">
        <f t="shared" si="167"/>
        <v>0</v>
      </c>
      <c r="N549" s="76">
        <f t="shared" si="168"/>
        <v>0</v>
      </c>
      <c r="O549" s="76">
        <f t="shared" si="169"/>
        <v>85.32</v>
      </c>
      <c r="P549" s="76"/>
      <c r="Q549" s="51"/>
      <c r="T549" s="53">
        <v>66.87</v>
      </c>
    </row>
    <row r="550" spans="1:20" s="56" customFormat="1" ht="24" x14ac:dyDescent="0.2">
      <c r="A550" s="73" t="s">
        <v>308</v>
      </c>
      <c r="B550" s="80">
        <v>44415</v>
      </c>
      <c r="C550" s="74" t="s">
        <v>913</v>
      </c>
      <c r="D550" s="73" t="s">
        <v>102</v>
      </c>
      <c r="E550" s="75">
        <v>1</v>
      </c>
      <c r="F550" s="75">
        <f t="shared" si="162"/>
        <v>89.11</v>
      </c>
      <c r="G550" s="75">
        <f t="shared" si="163"/>
        <v>113.7</v>
      </c>
      <c r="H550" s="76">
        <f t="shared" si="164"/>
        <v>113.7</v>
      </c>
      <c r="I550" s="75"/>
      <c r="J550" s="75"/>
      <c r="K550" s="75">
        <f t="shared" si="165"/>
        <v>1</v>
      </c>
      <c r="L550" s="76">
        <f t="shared" si="166"/>
        <v>89.11</v>
      </c>
      <c r="M550" s="76">
        <f t="shared" si="167"/>
        <v>0</v>
      </c>
      <c r="N550" s="76">
        <f t="shared" si="168"/>
        <v>0</v>
      </c>
      <c r="O550" s="76">
        <f t="shared" si="169"/>
        <v>113.7</v>
      </c>
      <c r="P550" s="76"/>
      <c r="Q550" s="51"/>
      <c r="T550" s="53">
        <v>89.11</v>
      </c>
    </row>
    <row r="551" spans="1:20" s="56" customFormat="1" ht="36" x14ac:dyDescent="0.2">
      <c r="A551" s="73" t="s">
        <v>308</v>
      </c>
      <c r="B551" s="80">
        <v>44416</v>
      </c>
      <c r="C551" s="74" t="s">
        <v>914</v>
      </c>
      <c r="D551" s="73" t="s">
        <v>102</v>
      </c>
      <c r="E551" s="75">
        <v>1</v>
      </c>
      <c r="F551" s="75">
        <f t="shared" si="162"/>
        <v>98.32</v>
      </c>
      <c r="G551" s="75">
        <f t="shared" si="163"/>
        <v>125.45</v>
      </c>
      <c r="H551" s="76">
        <f t="shared" si="164"/>
        <v>125.45</v>
      </c>
      <c r="I551" s="75"/>
      <c r="J551" s="75"/>
      <c r="K551" s="75">
        <f t="shared" si="165"/>
        <v>1</v>
      </c>
      <c r="L551" s="76">
        <f t="shared" si="166"/>
        <v>98.32</v>
      </c>
      <c r="M551" s="76">
        <f t="shared" si="167"/>
        <v>0</v>
      </c>
      <c r="N551" s="76">
        <f t="shared" si="168"/>
        <v>0</v>
      </c>
      <c r="O551" s="76">
        <f t="shared" si="169"/>
        <v>125.45</v>
      </c>
      <c r="P551" s="76"/>
      <c r="Q551" s="51"/>
      <c r="T551" s="53">
        <v>98.32</v>
      </c>
    </row>
    <row r="552" spans="1:20" s="56" customFormat="1" ht="24" x14ac:dyDescent="0.2">
      <c r="A552" s="73" t="s">
        <v>915</v>
      </c>
      <c r="B552" s="80">
        <v>44417</v>
      </c>
      <c r="C552" s="74" t="s">
        <v>916</v>
      </c>
      <c r="D552" s="73" t="s">
        <v>102</v>
      </c>
      <c r="E552" s="75">
        <v>1</v>
      </c>
      <c r="F552" s="75">
        <f t="shared" si="162"/>
        <v>81.760000000000005</v>
      </c>
      <c r="G552" s="75">
        <f t="shared" si="163"/>
        <v>104.32</v>
      </c>
      <c r="H552" s="76">
        <f t="shared" si="164"/>
        <v>104.32</v>
      </c>
      <c r="I552" s="75"/>
      <c r="J552" s="75"/>
      <c r="K552" s="75">
        <f t="shared" si="165"/>
        <v>1</v>
      </c>
      <c r="L552" s="76">
        <f t="shared" si="166"/>
        <v>81.760000000000005</v>
      </c>
      <c r="M552" s="76">
        <f t="shared" si="167"/>
        <v>0</v>
      </c>
      <c r="N552" s="76">
        <f t="shared" si="168"/>
        <v>0</v>
      </c>
      <c r="O552" s="76">
        <f t="shared" si="169"/>
        <v>104.32</v>
      </c>
      <c r="P552" s="76"/>
      <c r="Q552" s="51"/>
      <c r="T552" s="53">
        <v>81.760000000000005</v>
      </c>
    </row>
    <row r="553" spans="1:20" s="56" customFormat="1" ht="24" x14ac:dyDescent="0.2">
      <c r="A553" s="73" t="s">
        <v>917</v>
      </c>
      <c r="B553" s="87">
        <v>40411</v>
      </c>
      <c r="C553" s="74" t="s">
        <v>918</v>
      </c>
      <c r="D553" s="73" t="s">
        <v>102</v>
      </c>
      <c r="E553" s="75">
        <v>1</v>
      </c>
      <c r="F553" s="75">
        <f t="shared" si="162"/>
        <v>72.62</v>
      </c>
      <c r="G553" s="75">
        <f t="shared" si="163"/>
        <v>92.66</v>
      </c>
      <c r="H553" s="76">
        <f t="shared" si="164"/>
        <v>92.66</v>
      </c>
      <c r="I553" s="75"/>
      <c r="J553" s="75"/>
      <c r="K553" s="75">
        <f t="shared" si="165"/>
        <v>1</v>
      </c>
      <c r="L553" s="76">
        <f t="shared" si="166"/>
        <v>72.62</v>
      </c>
      <c r="M553" s="76">
        <f t="shared" si="167"/>
        <v>0</v>
      </c>
      <c r="N553" s="76">
        <f t="shared" si="168"/>
        <v>0</v>
      </c>
      <c r="O553" s="76">
        <f t="shared" si="169"/>
        <v>92.66</v>
      </c>
      <c r="P553" s="76"/>
      <c r="Q553" s="51"/>
      <c r="T553" s="53">
        <v>72.62</v>
      </c>
    </row>
    <row r="554" spans="1:20" s="56" customFormat="1" ht="24" x14ac:dyDescent="0.2">
      <c r="A554" s="73" t="s">
        <v>308</v>
      </c>
      <c r="B554" s="87">
        <v>40776</v>
      </c>
      <c r="C554" s="74" t="s">
        <v>919</v>
      </c>
      <c r="D554" s="73" t="s">
        <v>102</v>
      </c>
      <c r="E554" s="75">
        <v>3</v>
      </c>
      <c r="F554" s="75">
        <f t="shared" si="162"/>
        <v>17.100000000000001</v>
      </c>
      <c r="G554" s="75">
        <f t="shared" si="163"/>
        <v>21.82</v>
      </c>
      <c r="H554" s="76">
        <f t="shared" si="164"/>
        <v>65.459999999999994</v>
      </c>
      <c r="I554" s="75"/>
      <c r="J554" s="75"/>
      <c r="K554" s="75">
        <f t="shared" si="165"/>
        <v>3</v>
      </c>
      <c r="L554" s="76">
        <f t="shared" si="166"/>
        <v>51.3</v>
      </c>
      <c r="M554" s="76">
        <f t="shared" si="167"/>
        <v>0</v>
      </c>
      <c r="N554" s="76">
        <f t="shared" si="168"/>
        <v>0</v>
      </c>
      <c r="O554" s="76">
        <f t="shared" si="169"/>
        <v>65.459999999999994</v>
      </c>
      <c r="P554" s="76"/>
      <c r="Q554" s="51"/>
      <c r="T554" s="53">
        <v>17.100000000000001</v>
      </c>
    </row>
    <row r="555" spans="1:20" s="56" customFormat="1" ht="24" x14ac:dyDescent="0.2">
      <c r="A555" s="73" t="s">
        <v>308</v>
      </c>
      <c r="B555" s="87">
        <v>41142</v>
      </c>
      <c r="C555" s="74" t="s">
        <v>920</v>
      </c>
      <c r="D555" s="73" t="s">
        <v>102</v>
      </c>
      <c r="E555" s="75">
        <v>2</v>
      </c>
      <c r="F555" s="75">
        <f t="shared" si="162"/>
        <v>17.100000000000001</v>
      </c>
      <c r="G555" s="75">
        <f t="shared" si="163"/>
        <v>21.82</v>
      </c>
      <c r="H555" s="76">
        <f t="shared" si="164"/>
        <v>43.64</v>
      </c>
      <c r="I555" s="75"/>
      <c r="J555" s="75"/>
      <c r="K555" s="75">
        <f t="shared" si="165"/>
        <v>2</v>
      </c>
      <c r="L555" s="76">
        <f t="shared" si="166"/>
        <v>34.200000000000003</v>
      </c>
      <c r="M555" s="76">
        <f t="shared" si="167"/>
        <v>0</v>
      </c>
      <c r="N555" s="76">
        <f t="shared" si="168"/>
        <v>0</v>
      </c>
      <c r="O555" s="76">
        <f t="shared" si="169"/>
        <v>43.64</v>
      </c>
      <c r="P555" s="76"/>
      <c r="Q555" s="51"/>
      <c r="T555" s="53">
        <v>17.100000000000001</v>
      </c>
    </row>
    <row r="556" spans="1:20" s="56" customFormat="1" ht="12" x14ac:dyDescent="0.2">
      <c r="A556" s="72"/>
      <c r="B556" s="71"/>
      <c r="C556" s="71"/>
      <c r="D556" s="71"/>
      <c r="E556" s="71"/>
      <c r="F556" s="75"/>
      <c r="G556" s="77" t="s">
        <v>921</v>
      </c>
      <c r="H556" s="78">
        <f>SUM(H544:H555)</f>
        <v>2166.2799999999997</v>
      </c>
      <c r="I556" s="71"/>
      <c r="J556" s="71"/>
      <c r="K556" s="75"/>
      <c r="L556" s="78">
        <f>SUM(L544:L555)</f>
        <v>1697.8200000000002</v>
      </c>
      <c r="M556" s="78">
        <f>SUM(M544:M555)</f>
        <v>0</v>
      </c>
      <c r="N556" s="78">
        <f>SUM(N544:N555)</f>
        <v>0</v>
      </c>
      <c r="O556" s="78">
        <f>SUM(O544:O555)</f>
        <v>2166.2799999999997</v>
      </c>
      <c r="P556" s="78"/>
      <c r="Q556" s="60"/>
      <c r="T556" s="59"/>
    </row>
    <row r="557" spans="1:20" s="56" customFormat="1" ht="12" x14ac:dyDescent="0.2">
      <c r="A557" s="72"/>
      <c r="B557" s="70" t="s">
        <v>922</v>
      </c>
      <c r="C557" s="71" t="s">
        <v>923</v>
      </c>
      <c r="D557" s="72"/>
      <c r="E557" s="72"/>
      <c r="F557" s="75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52"/>
      <c r="T557" s="52"/>
    </row>
    <row r="558" spans="1:20" s="56" customFormat="1" ht="12" x14ac:dyDescent="0.2">
      <c r="A558" s="94">
        <v>93655</v>
      </c>
      <c r="B558" s="80">
        <v>44440</v>
      </c>
      <c r="C558" s="74" t="s">
        <v>924</v>
      </c>
      <c r="D558" s="73" t="s">
        <v>102</v>
      </c>
      <c r="E558" s="75">
        <v>41</v>
      </c>
      <c r="F558" s="75">
        <f t="shared" ref="F558:F573" si="170">ROUND(T558*$T$10,2)</f>
        <v>11.19</v>
      </c>
      <c r="G558" s="75">
        <f t="shared" ref="G558:G573" si="171">ROUND(F558*(1+$U$1),2)</f>
        <v>14.28</v>
      </c>
      <c r="H558" s="76">
        <f t="shared" ref="H558:H573" si="172">ROUND(E558*G558,2)</f>
        <v>585.48</v>
      </c>
      <c r="I558" s="75"/>
      <c r="J558" s="75"/>
      <c r="K558" s="75">
        <f t="shared" ref="K558:K573" si="173">E558-I558</f>
        <v>41</v>
      </c>
      <c r="L558" s="76">
        <f t="shared" ref="L558:L573" si="174">ROUND(E558*F558,2)</f>
        <v>458.79</v>
      </c>
      <c r="M558" s="76">
        <f t="shared" ref="M558:M573" si="175">I558*G558</f>
        <v>0</v>
      </c>
      <c r="N558" s="76">
        <f t="shared" ref="N558:N573" si="176">J558*G558</f>
        <v>0</v>
      </c>
      <c r="O558" s="76">
        <f t="shared" ref="O558:O573" si="177">H558-N558</f>
        <v>585.48</v>
      </c>
      <c r="P558" s="76"/>
      <c r="Q558" s="51"/>
      <c r="T558" s="53">
        <v>11.19</v>
      </c>
    </row>
    <row r="559" spans="1:20" s="56" customFormat="1" ht="12" x14ac:dyDescent="0.2">
      <c r="A559" s="94">
        <v>93656</v>
      </c>
      <c r="B559" s="80">
        <v>44441</v>
      </c>
      <c r="C559" s="74" t="s">
        <v>925</v>
      </c>
      <c r="D559" s="73" t="s">
        <v>102</v>
      </c>
      <c r="E559" s="75">
        <v>25</v>
      </c>
      <c r="F559" s="75">
        <f t="shared" si="170"/>
        <v>11.19</v>
      </c>
      <c r="G559" s="75">
        <f t="shared" si="171"/>
        <v>14.28</v>
      </c>
      <c r="H559" s="76">
        <f t="shared" si="172"/>
        <v>357</v>
      </c>
      <c r="I559" s="75"/>
      <c r="J559" s="75"/>
      <c r="K559" s="75">
        <f t="shared" si="173"/>
        <v>25</v>
      </c>
      <c r="L559" s="76">
        <f t="shared" si="174"/>
        <v>279.75</v>
      </c>
      <c r="M559" s="76">
        <f t="shared" si="175"/>
        <v>0</v>
      </c>
      <c r="N559" s="76">
        <f t="shared" si="176"/>
        <v>0</v>
      </c>
      <c r="O559" s="76">
        <f t="shared" si="177"/>
        <v>357</v>
      </c>
      <c r="P559" s="76"/>
      <c r="Q559" s="51"/>
      <c r="T559" s="53">
        <v>11.19</v>
      </c>
    </row>
    <row r="560" spans="1:20" s="56" customFormat="1" ht="12" x14ac:dyDescent="0.2">
      <c r="A560" s="94">
        <v>93667</v>
      </c>
      <c r="B560" s="80">
        <v>44442</v>
      </c>
      <c r="C560" s="74" t="s">
        <v>926</v>
      </c>
      <c r="D560" s="73" t="s">
        <v>102</v>
      </c>
      <c r="E560" s="75">
        <v>1</v>
      </c>
      <c r="F560" s="75">
        <f t="shared" si="170"/>
        <v>63.11</v>
      </c>
      <c r="G560" s="75">
        <f t="shared" si="171"/>
        <v>80.52</v>
      </c>
      <c r="H560" s="76">
        <f t="shared" si="172"/>
        <v>80.52</v>
      </c>
      <c r="I560" s="75"/>
      <c r="J560" s="75"/>
      <c r="K560" s="75">
        <f t="shared" si="173"/>
        <v>1</v>
      </c>
      <c r="L560" s="76">
        <f t="shared" si="174"/>
        <v>63.11</v>
      </c>
      <c r="M560" s="76">
        <f t="shared" si="175"/>
        <v>0</v>
      </c>
      <c r="N560" s="76">
        <f t="shared" si="176"/>
        <v>0</v>
      </c>
      <c r="O560" s="76">
        <f t="shared" si="177"/>
        <v>80.52</v>
      </c>
      <c r="P560" s="76"/>
      <c r="Q560" s="51"/>
      <c r="T560" s="53">
        <v>63.11</v>
      </c>
    </row>
    <row r="561" spans="1:20" s="56" customFormat="1" ht="12" x14ac:dyDescent="0.2">
      <c r="A561" s="94">
        <v>93669</v>
      </c>
      <c r="B561" s="80">
        <v>44443</v>
      </c>
      <c r="C561" s="74" t="s">
        <v>927</v>
      </c>
      <c r="D561" s="73" t="s">
        <v>102</v>
      </c>
      <c r="E561" s="75">
        <v>2</v>
      </c>
      <c r="F561" s="75">
        <f t="shared" si="170"/>
        <v>66.849999999999994</v>
      </c>
      <c r="G561" s="75">
        <f t="shared" si="171"/>
        <v>85.29</v>
      </c>
      <c r="H561" s="76">
        <f t="shared" si="172"/>
        <v>170.58</v>
      </c>
      <c r="I561" s="75"/>
      <c r="J561" s="75"/>
      <c r="K561" s="75">
        <f t="shared" si="173"/>
        <v>2</v>
      </c>
      <c r="L561" s="76">
        <f t="shared" si="174"/>
        <v>133.69999999999999</v>
      </c>
      <c r="M561" s="76">
        <f t="shared" si="175"/>
        <v>0</v>
      </c>
      <c r="N561" s="76">
        <f t="shared" si="176"/>
        <v>0</v>
      </c>
      <c r="O561" s="76">
        <f t="shared" si="177"/>
        <v>170.58</v>
      </c>
      <c r="P561" s="76"/>
      <c r="Q561" s="51"/>
      <c r="T561" s="53">
        <v>66.849999999999994</v>
      </c>
    </row>
    <row r="562" spans="1:20" s="56" customFormat="1" ht="12" x14ac:dyDescent="0.2">
      <c r="A562" s="94">
        <v>93671</v>
      </c>
      <c r="B562" s="80">
        <v>44444</v>
      </c>
      <c r="C562" s="74" t="s">
        <v>928</v>
      </c>
      <c r="D562" s="73" t="s">
        <v>102</v>
      </c>
      <c r="E562" s="75">
        <v>3</v>
      </c>
      <c r="F562" s="75">
        <f t="shared" si="170"/>
        <v>69.86</v>
      </c>
      <c r="G562" s="75">
        <f t="shared" si="171"/>
        <v>89.13</v>
      </c>
      <c r="H562" s="76">
        <f t="shared" si="172"/>
        <v>267.39</v>
      </c>
      <c r="I562" s="75"/>
      <c r="J562" s="75"/>
      <c r="K562" s="75">
        <f t="shared" si="173"/>
        <v>3</v>
      </c>
      <c r="L562" s="76">
        <f t="shared" si="174"/>
        <v>209.58</v>
      </c>
      <c r="M562" s="76">
        <f t="shared" si="175"/>
        <v>0</v>
      </c>
      <c r="N562" s="76">
        <f t="shared" si="176"/>
        <v>0</v>
      </c>
      <c r="O562" s="76">
        <f t="shared" si="177"/>
        <v>267.39</v>
      </c>
      <c r="P562" s="76"/>
      <c r="Q562" s="51"/>
      <c r="T562" s="53">
        <v>69.86</v>
      </c>
    </row>
    <row r="563" spans="1:20" s="56" customFormat="1" ht="12" x14ac:dyDescent="0.2">
      <c r="A563" s="94">
        <v>93673</v>
      </c>
      <c r="B563" s="80">
        <v>44445</v>
      </c>
      <c r="C563" s="74" t="s">
        <v>929</v>
      </c>
      <c r="D563" s="73" t="s">
        <v>102</v>
      </c>
      <c r="E563" s="75">
        <v>1</v>
      </c>
      <c r="F563" s="75">
        <f t="shared" si="170"/>
        <v>80.959999999999994</v>
      </c>
      <c r="G563" s="75">
        <f t="shared" si="171"/>
        <v>103.3</v>
      </c>
      <c r="H563" s="76">
        <f t="shared" si="172"/>
        <v>103.3</v>
      </c>
      <c r="I563" s="75"/>
      <c r="J563" s="75"/>
      <c r="K563" s="75">
        <f t="shared" si="173"/>
        <v>1</v>
      </c>
      <c r="L563" s="76">
        <f t="shared" si="174"/>
        <v>80.959999999999994</v>
      </c>
      <c r="M563" s="76">
        <f t="shared" si="175"/>
        <v>0</v>
      </c>
      <c r="N563" s="76">
        <f t="shared" si="176"/>
        <v>0</v>
      </c>
      <c r="O563" s="76">
        <f t="shared" si="177"/>
        <v>103.3</v>
      </c>
      <c r="P563" s="76"/>
      <c r="Q563" s="51"/>
      <c r="T563" s="53">
        <v>80.959999999999994</v>
      </c>
    </row>
    <row r="564" spans="1:20" s="56" customFormat="1" ht="12" x14ac:dyDescent="0.2">
      <c r="A564" s="73" t="s">
        <v>930</v>
      </c>
      <c r="B564" s="80">
        <v>44446</v>
      </c>
      <c r="C564" s="74" t="s">
        <v>931</v>
      </c>
      <c r="D564" s="73" t="s">
        <v>102</v>
      </c>
      <c r="E564" s="75">
        <v>1</v>
      </c>
      <c r="F564" s="75">
        <f t="shared" si="170"/>
        <v>84.91</v>
      </c>
      <c r="G564" s="75">
        <f t="shared" si="171"/>
        <v>108.34</v>
      </c>
      <c r="H564" s="76">
        <f t="shared" si="172"/>
        <v>108.34</v>
      </c>
      <c r="I564" s="75"/>
      <c r="J564" s="75"/>
      <c r="K564" s="75">
        <f t="shared" si="173"/>
        <v>1</v>
      </c>
      <c r="L564" s="76">
        <f t="shared" si="174"/>
        <v>84.91</v>
      </c>
      <c r="M564" s="76">
        <f t="shared" si="175"/>
        <v>0</v>
      </c>
      <c r="N564" s="76">
        <f t="shared" si="176"/>
        <v>0</v>
      </c>
      <c r="O564" s="76">
        <f t="shared" si="177"/>
        <v>108.34</v>
      </c>
      <c r="P564" s="76"/>
      <c r="Q564" s="51"/>
      <c r="T564" s="53">
        <v>84.91</v>
      </c>
    </row>
    <row r="565" spans="1:20" s="56" customFormat="1" ht="12" x14ac:dyDescent="0.2">
      <c r="A565" s="73" t="s">
        <v>932</v>
      </c>
      <c r="B565" s="80">
        <v>44447</v>
      </c>
      <c r="C565" s="74" t="s">
        <v>933</v>
      </c>
      <c r="D565" s="73" t="s">
        <v>102</v>
      </c>
      <c r="E565" s="75">
        <v>1</v>
      </c>
      <c r="F565" s="75">
        <f t="shared" si="170"/>
        <v>84.91</v>
      </c>
      <c r="G565" s="75">
        <f t="shared" si="171"/>
        <v>108.34</v>
      </c>
      <c r="H565" s="76">
        <f t="shared" si="172"/>
        <v>108.34</v>
      </c>
      <c r="I565" s="75"/>
      <c r="J565" s="75"/>
      <c r="K565" s="75">
        <f t="shared" si="173"/>
        <v>1</v>
      </c>
      <c r="L565" s="76">
        <f t="shared" si="174"/>
        <v>84.91</v>
      </c>
      <c r="M565" s="76">
        <f t="shared" si="175"/>
        <v>0</v>
      </c>
      <c r="N565" s="76">
        <f t="shared" si="176"/>
        <v>0</v>
      </c>
      <c r="O565" s="76">
        <f t="shared" si="177"/>
        <v>108.34</v>
      </c>
      <c r="P565" s="76"/>
      <c r="Q565" s="51"/>
      <c r="T565" s="53">
        <v>84.91</v>
      </c>
    </row>
    <row r="566" spans="1:20" s="56" customFormat="1" ht="12" x14ac:dyDescent="0.2">
      <c r="A566" s="73" t="s">
        <v>78</v>
      </c>
      <c r="B566" s="80">
        <v>44448</v>
      </c>
      <c r="C566" s="74" t="s">
        <v>934</v>
      </c>
      <c r="D566" s="73" t="s">
        <v>102</v>
      </c>
      <c r="E566" s="75">
        <v>2</v>
      </c>
      <c r="F566" s="75">
        <f t="shared" si="170"/>
        <v>72.77</v>
      </c>
      <c r="G566" s="75">
        <f t="shared" si="171"/>
        <v>92.85</v>
      </c>
      <c r="H566" s="76">
        <f t="shared" si="172"/>
        <v>185.7</v>
      </c>
      <c r="I566" s="75"/>
      <c r="J566" s="75"/>
      <c r="K566" s="75">
        <f t="shared" si="173"/>
        <v>2</v>
      </c>
      <c r="L566" s="76">
        <f t="shared" si="174"/>
        <v>145.54</v>
      </c>
      <c r="M566" s="76">
        <f t="shared" si="175"/>
        <v>0</v>
      </c>
      <c r="N566" s="76">
        <f t="shared" si="176"/>
        <v>0</v>
      </c>
      <c r="O566" s="76">
        <f t="shared" si="177"/>
        <v>185.7</v>
      </c>
      <c r="P566" s="76"/>
      <c r="Q566" s="51"/>
      <c r="T566" s="53">
        <v>72.77</v>
      </c>
    </row>
    <row r="567" spans="1:20" s="56" customFormat="1" ht="12" x14ac:dyDescent="0.2">
      <c r="A567" s="73" t="s">
        <v>78</v>
      </c>
      <c r="B567" s="87">
        <v>40442</v>
      </c>
      <c r="C567" s="74" t="s">
        <v>935</v>
      </c>
      <c r="D567" s="73" t="s">
        <v>102</v>
      </c>
      <c r="E567" s="75">
        <v>1</v>
      </c>
      <c r="F567" s="75">
        <f t="shared" si="170"/>
        <v>72.77</v>
      </c>
      <c r="G567" s="75">
        <f t="shared" si="171"/>
        <v>92.85</v>
      </c>
      <c r="H567" s="76">
        <f t="shared" si="172"/>
        <v>92.85</v>
      </c>
      <c r="I567" s="75"/>
      <c r="J567" s="75"/>
      <c r="K567" s="75">
        <f t="shared" si="173"/>
        <v>1</v>
      </c>
      <c r="L567" s="76">
        <f t="shared" si="174"/>
        <v>72.77</v>
      </c>
      <c r="M567" s="76">
        <f t="shared" si="175"/>
        <v>0</v>
      </c>
      <c r="N567" s="76">
        <f t="shared" si="176"/>
        <v>0</v>
      </c>
      <c r="O567" s="76">
        <f t="shared" si="177"/>
        <v>92.85</v>
      </c>
      <c r="P567" s="76"/>
      <c r="Q567" s="51"/>
      <c r="T567" s="53">
        <v>72.77</v>
      </c>
    </row>
    <row r="568" spans="1:20" s="56" customFormat="1" ht="12" x14ac:dyDescent="0.2">
      <c r="A568" s="73" t="s">
        <v>308</v>
      </c>
      <c r="B568" s="87">
        <v>40807</v>
      </c>
      <c r="C568" s="74" t="s">
        <v>936</v>
      </c>
      <c r="D568" s="73" t="s">
        <v>102</v>
      </c>
      <c r="E568" s="75">
        <v>1</v>
      </c>
      <c r="F568" s="75">
        <f t="shared" si="170"/>
        <v>750</v>
      </c>
      <c r="G568" s="75">
        <f t="shared" si="171"/>
        <v>956.93</v>
      </c>
      <c r="H568" s="76">
        <f t="shared" si="172"/>
        <v>956.93</v>
      </c>
      <c r="I568" s="75"/>
      <c r="J568" s="75"/>
      <c r="K568" s="75">
        <f t="shared" si="173"/>
        <v>1</v>
      </c>
      <c r="L568" s="76">
        <f t="shared" si="174"/>
        <v>750</v>
      </c>
      <c r="M568" s="76">
        <f t="shared" si="175"/>
        <v>0</v>
      </c>
      <c r="N568" s="76">
        <f t="shared" si="176"/>
        <v>0</v>
      </c>
      <c r="O568" s="76">
        <f t="shared" si="177"/>
        <v>956.93</v>
      </c>
      <c r="P568" s="76"/>
      <c r="Q568" s="51"/>
      <c r="T568" s="53">
        <v>750</v>
      </c>
    </row>
    <row r="569" spans="1:20" s="56" customFormat="1" ht="12" x14ac:dyDescent="0.2">
      <c r="A569" s="73" t="s">
        <v>937</v>
      </c>
      <c r="B569" s="87">
        <v>41173</v>
      </c>
      <c r="C569" s="74" t="s">
        <v>938</v>
      </c>
      <c r="D569" s="73" t="s">
        <v>102</v>
      </c>
      <c r="E569" s="75">
        <v>1</v>
      </c>
      <c r="F569" s="75">
        <f t="shared" si="170"/>
        <v>397.29</v>
      </c>
      <c r="G569" s="75">
        <f t="shared" si="171"/>
        <v>506.9</v>
      </c>
      <c r="H569" s="76">
        <f t="shared" si="172"/>
        <v>506.9</v>
      </c>
      <c r="I569" s="75"/>
      <c r="J569" s="75"/>
      <c r="K569" s="75">
        <f t="shared" si="173"/>
        <v>1</v>
      </c>
      <c r="L569" s="76">
        <f t="shared" si="174"/>
        <v>397.29</v>
      </c>
      <c r="M569" s="76">
        <f t="shared" si="175"/>
        <v>0</v>
      </c>
      <c r="N569" s="76">
        <f t="shared" si="176"/>
        <v>0</v>
      </c>
      <c r="O569" s="76">
        <f t="shared" si="177"/>
        <v>506.9</v>
      </c>
      <c r="P569" s="76"/>
      <c r="Q569" s="51"/>
      <c r="T569" s="53">
        <v>397.29</v>
      </c>
    </row>
    <row r="570" spans="1:20" s="56" customFormat="1" ht="24" x14ac:dyDescent="0.2">
      <c r="A570" s="73" t="s">
        <v>939</v>
      </c>
      <c r="B570" s="87">
        <v>41538</v>
      </c>
      <c r="C570" s="74" t="s">
        <v>940</v>
      </c>
      <c r="D570" s="73" t="s">
        <v>102</v>
      </c>
      <c r="E570" s="75">
        <v>1</v>
      </c>
      <c r="F570" s="75">
        <f t="shared" si="170"/>
        <v>762.97</v>
      </c>
      <c r="G570" s="75">
        <f t="shared" si="171"/>
        <v>973.47</v>
      </c>
      <c r="H570" s="76">
        <f t="shared" si="172"/>
        <v>973.47</v>
      </c>
      <c r="I570" s="75"/>
      <c r="J570" s="75"/>
      <c r="K570" s="75">
        <f t="shared" si="173"/>
        <v>1</v>
      </c>
      <c r="L570" s="76">
        <f t="shared" si="174"/>
        <v>762.97</v>
      </c>
      <c r="M570" s="76">
        <f t="shared" si="175"/>
        <v>0</v>
      </c>
      <c r="N570" s="76">
        <f t="shared" si="176"/>
        <v>0</v>
      </c>
      <c r="O570" s="76">
        <f t="shared" si="177"/>
        <v>973.47</v>
      </c>
      <c r="P570" s="76"/>
      <c r="Q570" s="51"/>
      <c r="T570" s="53">
        <v>762.97</v>
      </c>
    </row>
    <row r="571" spans="1:20" s="56" customFormat="1" ht="24" x14ac:dyDescent="0.2">
      <c r="A571" s="73" t="s">
        <v>78</v>
      </c>
      <c r="B571" s="87">
        <v>41903</v>
      </c>
      <c r="C571" s="74" t="s">
        <v>941</v>
      </c>
      <c r="D571" s="73" t="s">
        <v>102</v>
      </c>
      <c r="E571" s="75">
        <v>57</v>
      </c>
      <c r="F571" s="75">
        <f t="shared" si="170"/>
        <v>126.31</v>
      </c>
      <c r="G571" s="75">
        <f t="shared" si="171"/>
        <v>161.16</v>
      </c>
      <c r="H571" s="76">
        <f t="shared" si="172"/>
        <v>9186.1200000000008</v>
      </c>
      <c r="I571" s="75"/>
      <c r="J571" s="75"/>
      <c r="K571" s="75">
        <f t="shared" si="173"/>
        <v>57</v>
      </c>
      <c r="L571" s="76">
        <f t="shared" si="174"/>
        <v>7199.67</v>
      </c>
      <c r="M571" s="76">
        <f t="shared" si="175"/>
        <v>0</v>
      </c>
      <c r="N571" s="76">
        <f t="shared" si="176"/>
        <v>0</v>
      </c>
      <c r="O571" s="76">
        <f t="shared" si="177"/>
        <v>9186.1200000000008</v>
      </c>
      <c r="P571" s="76"/>
      <c r="Q571" s="51"/>
      <c r="T571" s="53">
        <v>126.31</v>
      </c>
    </row>
    <row r="572" spans="1:20" s="56" customFormat="1" ht="24" x14ac:dyDescent="0.2">
      <c r="A572" s="73" t="s">
        <v>78</v>
      </c>
      <c r="B572" s="87">
        <v>42268</v>
      </c>
      <c r="C572" s="74" t="s">
        <v>942</v>
      </c>
      <c r="D572" s="73" t="s">
        <v>102</v>
      </c>
      <c r="E572" s="75">
        <v>1</v>
      </c>
      <c r="F572" s="75">
        <f t="shared" si="170"/>
        <v>157.28</v>
      </c>
      <c r="G572" s="75">
        <f t="shared" si="171"/>
        <v>200.67</v>
      </c>
      <c r="H572" s="76">
        <f t="shared" si="172"/>
        <v>200.67</v>
      </c>
      <c r="I572" s="75"/>
      <c r="J572" s="75"/>
      <c r="K572" s="75">
        <f t="shared" si="173"/>
        <v>1</v>
      </c>
      <c r="L572" s="76">
        <f t="shared" si="174"/>
        <v>157.28</v>
      </c>
      <c r="M572" s="76">
        <f t="shared" si="175"/>
        <v>0</v>
      </c>
      <c r="N572" s="76">
        <f t="shared" si="176"/>
        <v>0</v>
      </c>
      <c r="O572" s="76">
        <f t="shared" si="177"/>
        <v>200.67</v>
      </c>
      <c r="P572" s="76"/>
      <c r="Q572" s="51"/>
      <c r="T572" s="53">
        <v>157.28</v>
      </c>
    </row>
    <row r="573" spans="1:20" s="56" customFormat="1" ht="36" x14ac:dyDescent="0.2">
      <c r="A573" s="73" t="s">
        <v>943</v>
      </c>
      <c r="B573" s="87">
        <v>42634</v>
      </c>
      <c r="C573" s="74" t="s">
        <v>944</v>
      </c>
      <c r="D573" s="73" t="s">
        <v>102</v>
      </c>
      <c r="E573" s="75">
        <v>4</v>
      </c>
      <c r="F573" s="75">
        <f t="shared" si="170"/>
        <v>99.53</v>
      </c>
      <c r="G573" s="75">
        <f t="shared" si="171"/>
        <v>126.99</v>
      </c>
      <c r="H573" s="76">
        <f t="shared" si="172"/>
        <v>507.96</v>
      </c>
      <c r="I573" s="75"/>
      <c r="J573" s="75"/>
      <c r="K573" s="75">
        <f t="shared" si="173"/>
        <v>4</v>
      </c>
      <c r="L573" s="76">
        <f t="shared" si="174"/>
        <v>398.12</v>
      </c>
      <c r="M573" s="76">
        <f t="shared" si="175"/>
        <v>0</v>
      </c>
      <c r="N573" s="76">
        <f t="shared" si="176"/>
        <v>0</v>
      </c>
      <c r="O573" s="76">
        <f t="shared" si="177"/>
        <v>507.96</v>
      </c>
      <c r="P573" s="76"/>
      <c r="Q573" s="51"/>
      <c r="T573" s="53">
        <v>99.53</v>
      </c>
    </row>
    <row r="574" spans="1:20" s="56" customFormat="1" ht="12" x14ac:dyDescent="0.2">
      <c r="A574" s="72"/>
      <c r="B574" s="71"/>
      <c r="C574" s="71"/>
      <c r="D574" s="71"/>
      <c r="E574" s="71"/>
      <c r="F574" s="75"/>
      <c r="G574" s="77" t="s">
        <v>945</v>
      </c>
      <c r="H574" s="78">
        <f>SUM(H558:H573)</f>
        <v>14391.55</v>
      </c>
      <c r="I574" s="71"/>
      <c r="J574" s="71"/>
      <c r="K574" s="71"/>
      <c r="L574" s="78">
        <f>SUM(L558:L573)</f>
        <v>11279.350000000002</v>
      </c>
      <c r="M574" s="78">
        <f>SUM(M558:M573)</f>
        <v>0</v>
      </c>
      <c r="N574" s="78">
        <f>SUM(N558:N573)</f>
        <v>0</v>
      </c>
      <c r="O574" s="78">
        <f>SUM(O558:O573)</f>
        <v>14391.55</v>
      </c>
      <c r="P574" s="78"/>
      <c r="Q574" s="60"/>
      <c r="T574" s="59"/>
    </row>
    <row r="575" spans="1:20" s="56" customFormat="1" ht="12" x14ac:dyDescent="0.2">
      <c r="A575" s="72"/>
      <c r="B575" s="70" t="s">
        <v>946</v>
      </c>
      <c r="C575" s="71" t="s">
        <v>947</v>
      </c>
      <c r="D575" s="71"/>
      <c r="E575" s="71"/>
      <c r="F575" s="75"/>
      <c r="G575" s="71"/>
      <c r="H575" s="72"/>
      <c r="I575" s="71"/>
      <c r="J575" s="71"/>
      <c r="K575" s="71"/>
      <c r="L575" s="71"/>
      <c r="M575" s="72"/>
      <c r="N575" s="72"/>
      <c r="O575" s="72"/>
      <c r="P575" s="72"/>
      <c r="Q575" s="52"/>
      <c r="T575" s="59"/>
    </row>
    <row r="576" spans="1:20" s="56" customFormat="1" ht="24" x14ac:dyDescent="0.2">
      <c r="A576" s="73" t="s">
        <v>948</v>
      </c>
      <c r="B576" s="84">
        <v>44470</v>
      </c>
      <c r="C576" s="74" t="s">
        <v>949</v>
      </c>
      <c r="D576" s="73" t="s">
        <v>102</v>
      </c>
      <c r="E576" s="75">
        <v>116</v>
      </c>
      <c r="F576" s="75">
        <f t="shared" ref="F576:F582" si="178">ROUND(T576*$T$10,2)</f>
        <v>63.58</v>
      </c>
      <c r="G576" s="75">
        <f t="shared" ref="G576:G582" si="179">ROUND(F576*(1+$U$1),2)</f>
        <v>81.12</v>
      </c>
      <c r="H576" s="76">
        <f t="shared" ref="H576:H582" si="180">ROUND(E576*G576,2)</f>
        <v>9409.92</v>
      </c>
      <c r="I576" s="75"/>
      <c r="J576" s="75"/>
      <c r="K576" s="75">
        <f t="shared" ref="K576:K582" si="181">E576-I576</f>
        <v>116</v>
      </c>
      <c r="L576" s="76">
        <f t="shared" ref="L576:L582" si="182">ROUND(E576*F576,2)</f>
        <v>7375.28</v>
      </c>
      <c r="M576" s="76">
        <f t="shared" ref="M576:M582" si="183">I576*G576</f>
        <v>0</v>
      </c>
      <c r="N576" s="76">
        <f t="shared" ref="N576:N582" si="184">J576*G576</f>
        <v>0</v>
      </c>
      <c r="O576" s="76">
        <f t="shared" ref="O576:O582" si="185">H576-N576</f>
        <v>9409.92</v>
      </c>
      <c r="P576" s="76"/>
      <c r="Q576" s="51"/>
      <c r="T576" s="53">
        <v>63.58</v>
      </c>
    </row>
    <row r="577" spans="1:20" s="56" customFormat="1" ht="24" x14ac:dyDescent="0.2">
      <c r="A577" s="73" t="s">
        <v>950</v>
      </c>
      <c r="B577" s="84">
        <v>44471</v>
      </c>
      <c r="C577" s="74" t="s">
        <v>951</v>
      </c>
      <c r="D577" s="73" t="s">
        <v>102</v>
      </c>
      <c r="E577" s="75">
        <v>19</v>
      </c>
      <c r="F577" s="75">
        <f t="shared" si="178"/>
        <v>102.79</v>
      </c>
      <c r="G577" s="75">
        <f t="shared" si="179"/>
        <v>131.15</v>
      </c>
      <c r="H577" s="76">
        <f t="shared" si="180"/>
        <v>2491.85</v>
      </c>
      <c r="I577" s="75"/>
      <c r="J577" s="75"/>
      <c r="K577" s="75">
        <f t="shared" si="181"/>
        <v>19</v>
      </c>
      <c r="L577" s="76">
        <f t="shared" si="182"/>
        <v>1953.01</v>
      </c>
      <c r="M577" s="76">
        <f t="shared" si="183"/>
        <v>0</v>
      </c>
      <c r="N577" s="76">
        <f t="shared" si="184"/>
        <v>0</v>
      </c>
      <c r="O577" s="76">
        <f t="shared" si="185"/>
        <v>2491.85</v>
      </c>
      <c r="P577" s="76"/>
      <c r="Q577" s="51"/>
      <c r="T577" s="53">
        <v>102.79</v>
      </c>
    </row>
    <row r="578" spans="1:20" s="56" customFormat="1" ht="24" x14ac:dyDescent="0.2">
      <c r="A578" s="94">
        <v>38769</v>
      </c>
      <c r="B578" s="84">
        <v>44472</v>
      </c>
      <c r="C578" s="74" t="s">
        <v>952</v>
      </c>
      <c r="D578" s="73" t="s">
        <v>102</v>
      </c>
      <c r="E578" s="75">
        <v>12</v>
      </c>
      <c r="F578" s="75">
        <f t="shared" si="178"/>
        <v>22.83</v>
      </c>
      <c r="G578" s="75">
        <f t="shared" si="179"/>
        <v>29.13</v>
      </c>
      <c r="H578" s="76">
        <f t="shared" si="180"/>
        <v>349.56</v>
      </c>
      <c r="I578" s="75"/>
      <c r="J578" s="75"/>
      <c r="K578" s="75">
        <f t="shared" si="181"/>
        <v>12</v>
      </c>
      <c r="L578" s="76">
        <f t="shared" si="182"/>
        <v>273.95999999999998</v>
      </c>
      <c r="M578" s="76">
        <f t="shared" si="183"/>
        <v>0</v>
      </c>
      <c r="N578" s="76">
        <f t="shared" si="184"/>
        <v>0</v>
      </c>
      <c r="O578" s="76">
        <f t="shared" si="185"/>
        <v>349.56</v>
      </c>
      <c r="P578" s="76"/>
      <c r="Q578" s="51"/>
      <c r="T578" s="53">
        <v>22.83</v>
      </c>
    </row>
    <row r="579" spans="1:20" s="56" customFormat="1" ht="24" x14ac:dyDescent="0.2">
      <c r="A579" s="94">
        <v>38769</v>
      </c>
      <c r="B579" s="84">
        <v>44473</v>
      </c>
      <c r="C579" s="74" t="s">
        <v>953</v>
      </c>
      <c r="D579" s="73" t="s">
        <v>102</v>
      </c>
      <c r="E579" s="75">
        <v>18</v>
      </c>
      <c r="F579" s="75">
        <f t="shared" si="178"/>
        <v>22.83</v>
      </c>
      <c r="G579" s="75">
        <f t="shared" si="179"/>
        <v>29.13</v>
      </c>
      <c r="H579" s="76">
        <f t="shared" si="180"/>
        <v>524.34</v>
      </c>
      <c r="I579" s="75"/>
      <c r="J579" s="75"/>
      <c r="K579" s="75">
        <f t="shared" si="181"/>
        <v>18</v>
      </c>
      <c r="L579" s="76">
        <f t="shared" si="182"/>
        <v>410.94</v>
      </c>
      <c r="M579" s="76">
        <f t="shared" si="183"/>
        <v>0</v>
      </c>
      <c r="N579" s="76">
        <f t="shared" si="184"/>
        <v>0</v>
      </c>
      <c r="O579" s="76">
        <f t="shared" si="185"/>
        <v>524.34</v>
      </c>
      <c r="P579" s="76"/>
      <c r="Q579" s="51"/>
      <c r="T579" s="53">
        <v>22.83</v>
      </c>
    </row>
    <row r="580" spans="1:20" s="56" customFormat="1" ht="48" x14ac:dyDescent="0.2">
      <c r="A580" s="73" t="s">
        <v>954</v>
      </c>
      <c r="B580" s="84">
        <v>44474</v>
      </c>
      <c r="C580" s="74" t="s">
        <v>955</v>
      </c>
      <c r="D580" s="73" t="s">
        <v>102</v>
      </c>
      <c r="E580" s="75">
        <v>2</v>
      </c>
      <c r="F580" s="75">
        <f t="shared" si="178"/>
        <v>3877.9</v>
      </c>
      <c r="G580" s="75">
        <f t="shared" si="179"/>
        <v>4947.8100000000004</v>
      </c>
      <c r="H580" s="76">
        <f t="shared" si="180"/>
        <v>9895.6200000000008</v>
      </c>
      <c r="I580" s="75"/>
      <c r="J580" s="75"/>
      <c r="K580" s="75">
        <f t="shared" si="181"/>
        <v>2</v>
      </c>
      <c r="L580" s="76">
        <f t="shared" si="182"/>
        <v>7755.8</v>
      </c>
      <c r="M580" s="76">
        <f t="shared" si="183"/>
        <v>0</v>
      </c>
      <c r="N580" s="76">
        <f t="shared" si="184"/>
        <v>0</v>
      </c>
      <c r="O580" s="76">
        <f t="shared" si="185"/>
        <v>9895.6200000000008</v>
      </c>
      <c r="P580" s="76"/>
      <c r="Q580" s="51"/>
      <c r="T580" s="51">
        <v>3877.9</v>
      </c>
    </row>
    <row r="581" spans="1:20" s="56" customFormat="1" ht="48" x14ac:dyDescent="0.2">
      <c r="A581" s="73" t="s">
        <v>956</v>
      </c>
      <c r="B581" s="84">
        <v>44475</v>
      </c>
      <c r="C581" s="74" t="s">
        <v>957</v>
      </c>
      <c r="D581" s="73" t="s">
        <v>102</v>
      </c>
      <c r="E581" s="75">
        <v>4</v>
      </c>
      <c r="F581" s="75">
        <f t="shared" si="178"/>
        <v>2717.21</v>
      </c>
      <c r="G581" s="75">
        <f t="shared" si="179"/>
        <v>3466.89</v>
      </c>
      <c r="H581" s="76">
        <f t="shared" si="180"/>
        <v>13867.56</v>
      </c>
      <c r="I581" s="75"/>
      <c r="J581" s="75"/>
      <c r="K581" s="75">
        <f t="shared" si="181"/>
        <v>4</v>
      </c>
      <c r="L581" s="76">
        <f t="shared" si="182"/>
        <v>10868.84</v>
      </c>
      <c r="M581" s="76">
        <f t="shared" si="183"/>
        <v>0</v>
      </c>
      <c r="N581" s="76">
        <f t="shared" si="184"/>
        <v>0</v>
      </c>
      <c r="O581" s="76">
        <f t="shared" si="185"/>
        <v>13867.56</v>
      </c>
      <c r="P581" s="76"/>
      <c r="Q581" s="51"/>
      <c r="T581" s="51">
        <v>2717.21</v>
      </c>
    </row>
    <row r="582" spans="1:20" s="56" customFormat="1" ht="72" x14ac:dyDescent="0.2">
      <c r="A582" s="73" t="s">
        <v>308</v>
      </c>
      <c r="B582" s="84">
        <v>44476</v>
      </c>
      <c r="C582" s="74" t="s">
        <v>958</v>
      </c>
      <c r="D582" s="73" t="s">
        <v>102</v>
      </c>
      <c r="E582" s="75">
        <v>5</v>
      </c>
      <c r="F582" s="75">
        <f t="shared" si="178"/>
        <v>135.36000000000001</v>
      </c>
      <c r="G582" s="75">
        <f t="shared" si="179"/>
        <v>172.71</v>
      </c>
      <c r="H582" s="76">
        <f t="shared" si="180"/>
        <v>863.55</v>
      </c>
      <c r="I582" s="75"/>
      <c r="J582" s="75"/>
      <c r="K582" s="75">
        <f t="shared" si="181"/>
        <v>5</v>
      </c>
      <c r="L582" s="76">
        <f t="shared" si="182"/>
        <v>676.8</v>
      </c>
      <c r="M582" s="76">
        <f t="shared" si="183"/>
        <v>0</v>
      </c>
      <c r="N582" s="76">
        <f t="shared" si="184"/>
        <v>0</v>
      </c>
      <c r="O582" s="76">
        <f t="shared" si="185"/>
        <v>863.55</v>
      </c>
      <c r="P582" s="76"/>
      <c r="Q582" s="51"/>
      <c r="T582" s="53">
        <v>135.36000000000001</v>
      </c>
    </row>
    <row r="583" spans="1:20" s="56" customFormat="1" ht="12" x14ac:dyDescent="0.2">
      <c r="A583" s="72"/>
      <c r="B583" s="71"/>
      <c r="C583" s="71"/>
      <c r="D583" s="71"/>
      <c r="E583" s="71"/>
      <c r="F583" s="75"/>
      <c r="G583" s="77" t="s">
        <v>959</v>
      </c>
      <c r="H583" s="78">
        <f>SUM(H576:H582)</f>
        <v>37402.400000000001</v>
      </c>
      <c r="I583" s="71"/>
      <c r="J583" s="71"/>
      <c r="K583" s="75"/>
      <c r="L583" s="78">
        <f>SUM(L576:L582)</f>
        <v>29314.629999999997</v>
      </c>
      <c r="M583" s="78">
        <f>SUM(M576:M582)</f>
        <v>0</v>
      </c>
      <c r="N583" s="78">
        <f>SUM(N576:N582)</f>
        <v>0</v>
      </c>
      <c r="O583" s="78">
        <f>SUM(O576:O582)</f>
        <v>37402.400000000001</v>
      </c>
      <c r="P583" s="78"/>
      <c r="Q583" s="60"/>
      <c r="T583" s="59"/>
    </row>
    <row r="584" spans="1:20" s="56" customFormat="1" ht="12" x14ac:dyDescent="0.2">
      <c r="A584" s="72"/>
      <c r="B584" s="70" t="s">
        <v>960</v>
      </c>
      <c r="C584" s="71" t="s">
        <v>961</v>
      </c>
      <c r="D584" s="72"/>
      <c r="E584" s="72"/>
      <c r="F584" s="75"/>
      <c r="G584" s="72"/>
      <c r="H584" s="72"/>
      <c r="I584" s="72"/>
      <c r="J584" s="72"/>
      <c r="K584" s="75"/>
      <c r="L584" s="72"/>
      <c r="M584" s="72"/>
      <c r="N584" s="72"/>
      <c r="O584" s="72"/>
      <c r="P584" s="72"/>
      <c r="Q584" s="52"/>
      <c r="T584" s="52"/>
    </row>
    <row r="585" spans="1:20" s="56" customFormat="1" ht="12" x14ac:dyDescent="0.2">
      <c r="A585" s="94">
        <v>38112</v>
      </c>
      <c r="B585" s="84">
        <v>44501</v>
      </c>
      <c r="C585" s="74" t="s">
        <v>962</v>
      </c>
      <c r="D585" s="73" t="s">
        <v>102</v>
      </c>
      <c r="E585" s="75">
        <v>1</v>
      </c>
      <c r="F585" s="75">
        <f t="shared" ref="F585:F597" si="186">ROUND(T585*$T$10,2)</f>
        <v>5.53</v>
      </c>
      <c r="G585" s="75">
        <f t="shared" ref="G585:G597" si="187">ROUND(F585*(1+$U$1),2)</f>
        <v>7.06</v>
      </c>
      <c r="H585" s="76">
        <f t="shared" ref="H585:H597" si="188">ROUND(E585*G585,2)</f>
        <v>7.06</v>
      </c>
      <c r="I585" s="75"/>
      <c r="J585" s="75"/>
      <c r="K585" s="75">
        <f t="shared" ref="K585:K597" si="189">E585-I585</f>
        <v>1</v>
      </c>
      <c r="L585" s="76">
        <f t="shared" ref="L585:L597" si="190">ROUND(E585*F585,2)</f>
        <v>5.53</v>
      </c>
      <c r="M585" s="76">
        <f t="shared" ref="M585:M597" si="191">I585*G585</f>
        <v>0</v>
      </c>
      <c r="N585" s="76">
        <f t="shared" ref="N585:N597" si="192">J585*G585</f>
        <v>0</v>
      </c>
      <c r="O585" s="76">
        <f t="shared" ref="O585:O597" si="193">H585-N585</f>
        <v>7.06</v>
      </c>
      <c r="P585" s="76"/>
      <c r="Q585" s="51"/>
      <c r="T585" s="53">
        <v>5.53</v>
      </c>
    </row>
    <row r="586" spans="1:20" s="56" customFormat="1" ht="12" x14ac:dyDescent="0.2">
      <c r="A586" s="94">
        <v>38112</v>
      </c>
      <c r="B586" s="84">
        <v>44502</v>
      </c>
      <c r="C586" s="74" t="s">
        <v>963</v>
      </c>
      <c r="D586" s="73" t="s">
        <v>102</v>
      </c>
      <c r="E586" s="75">
        <v>49</v>
      </c>
      <c r="F586" s="75">
        <f t="shared" si="186"/>
        <v>5.53</v>
      </c>
      <c r="G586" s="75">
        <f t="shared" si="187"/>
        <v>7.06</v>
      </c>
      <c r="H586" s="76">
        <f t="shared" si="188"/>
        <v>345.94</v>
      </c>
      <c r="I586" s="75"/>
      <c r="J586" s="75"/>
      <c r="K586" s="75">
        <f t="shared" si="189"/>
        <v>49</v>
      </c>
      <c r="L586" s="76">
        <f t="shared" si="190"/>
        <v>270.97000000000003</v>
      </c>
      <c r="M586" s="76">
        <f t="shared" si="191"/>
        <v>0</v>
      </c>
      <c r="N586" s="76">
        <f t="shared" si="192"/>
        <v>0</v>
      </c>
      <c r="O586" s="76">
        <f t="shared" si="193"/>
        <v>345.94</v>
      </c>
      <c r="P586" s="76"/>
      <c r="Q586" s="51"/>
      <c r="T586" s="53">
        <v>5.53</v>
      </c>
    </row>
    <row r="587" spans="1:20" s="56" customFormat="1" ht="12" x14ac:dyDescent="0.2">
      <c r="A587" s="94">
        <v>38079</v>
      </c>
      <c r="B587" s="84">
        <v>44503</v>
      </c>
      <c r="C587" s="74" t="s">
        <v>964</v>
      </c>
      <c r="D587" s="73" t="s">
        <v>102</v>
      </c>
      <c r="E587" s="75">
        <v>2</v>
      </c>
      <c r="F587" s="75">
        <f t="shared" si="186"/>
        <v>17.579999999999998</v>
      </c>
      <c r="G587" s="75">
        <f t="shared" si="187"/>
        <v>22.43</v>
      </c>
      <c r="H587" s="76">
        <f t="shared" si="188"/>
        <v>44.86</v>
      </c>
      <c r="I587" s="75"/>
      <c r="J587" s="75"/>
      <c r="K587" s="75">
        <f t="shared" si="189"/>
        <v>2</v>
      </c>
      <c r="L587" s="76">
        <f t="shared" si="190"/>
        <v>35.159999999999997</v>
      </c>
      <c r="M587" s="76">
        <f t="shared" si="191"/>
        <v>0</v>
      </c>
      <c r="N587" s="76">
        <f t="shared" si="192"/>
        <v>0</v>
      </c>
      <c r="O587" s="76">
        <f t="shared" si="193"/>
        <v>44.86</v>
      </c>
      <c r="P587" s="76"/>
      <c r="Q587" s="51"/>
      <c r="T587" s="53">
        <v>17.579999999999998</v>
      </c>
    </row>
    <row r="588" spans="1:20" s="56" customFormat="1" ht="12" x14ac:dyDescent="0.2">
      <c r="A588" s="94">
        <v>38071</v>
      </c>
      <c r="B588" s="84">
        <v>44504</v>
      </c>
      <c r="C588" s="74" t="s">
        <v>965</v>
      </c>
      <c r="D588" s="73" t="s">
        <v>102</v>
      </c>
      <c r="E588" s="75">
        <v>5</v>
      </c>
      <c r="F588" s="75">
        <f t="shared" si="186"/>
        <v>13.94</v>
      </c>
      <c r="G588" s="75">
        <f t="shared" si="187"/>
        <v>17.79</v>
      </c>
      <c r="H588" s="76">
        <f t="shared" si="188"/>
        <v>88.95</v>
      </c>
      <c r="I588" s="75"/>
      <c r="J588" s="75"/>
      <c r="K588" s="75">
        <f t="shared" si="189"/>
        <v>5</v>
      </c>
      <c r="L588" s="76">
        <f t="shared" si="190"/>
        <v>69.7</v>
      </c>
      <c r="M588" s="76">
        <f t="shared" si="191"/>
        <v>0</v>
      </c>
      <c r="N588" s="76">
        <f t="shared" si="192"/>
        <v>0</v>
      </c>
      <c r="O588" s="76">
        <f t="shared" si="193"/>
        <v>88.95</v>
      </c>
      <c r="P588" s="76"/>
      <c r="Q588" s="51"/>
      <c r="T588" s="53">
        <v>13.94</v>
      </c>
    </row>
    <row r="589" spans="1:20" s="56" customFormat="1" ht="12" x14ac:dyDescent="0.2">
      <c r="A589" s="94">
        <v>38070</v>
      </c>
      <c r="B589" s="84">
        <v>44505</v>
      </c>
      <c r="C589" s="74" t="s">
        <v>966</v>
      </c>
      <c r="D589" s="73" t="s">
        <v>102</v>
      </c>
      <c r="E589" s="75">
        <v>2</v>
      </c>
      <c r="F589" s="75">
        <f t="shared" si="186"/>
        <v>13.47</v>
      </c>
      <c r="G589" s="75">
        <f t="shared" si="187"/>
        <v>17.190000000000001</v>
      </c>
      <c r="H589" s="76">
        <f t="shared" si="188"/>
        <v>34.380000000000003</v>
      </c>
      <c r="I589" s="75"/>
      <c r="J589" s="75"/>
      <c r="K589" s="75">
        <f t="shared" si="189"/>
        <v>2</v>
      </c>
      <c r="L589" s="76">
        <f t="shared" si="190"/>
        <v>26.94</v>
      </c>
      <c r="M589" s="76">
        <f t="shared" si="191"/>
        <v>0</v>
      </c>
      <c r="N589" s="76">
        <f t="shared" si="192"/>
        <v>0</v>
      </c>
      <c r="O589" s="76">
        <f t="shared" si="193"/>
        <v>34.380000000000003</v>
      </c>
      <c r="P589" s="76"/>
      <c r="Q589" s="51"/>
      <c r="T589" s="53">
        <v>13.47</v>
      </c>
    </row>
    <row r="590" spans="1:20" s="56" customFormat="1" ht="12" x14ac:dyDescent="0.2">
      <c r="A590" s="94">
        <v>38070</v>
      </c>
      <c r="B590" s="84">
        <v>44506</v>
      </c>
      <c r="C590" s="74" t="s">
        <v>967</v>
      </c>
      <c r="D590" s="73" t="s">
        <v>102</v>
      </c>
      <c r="E590" s="75">
        <v>18</v>
      </c>
      <c r="F590" s="75">
        <f t="shared" si="186"/>
        <v>13.47</v>
      </c>
      <c r="G590" s="75">
        <f t="shared" si="187"/>
        <v>17.190000000000001</v>
      </c>
      <c r="H590" s="76">
        <f t="shared" si="188"/>
        <v>309.42</v>
      </c>
      <c r="I590" s="75"/>
      <c r="J590" s="75"/>
      <c r="K590" s="75">
        <f t="shared" si="189"/>
        <v>18</v>
      </c>
      <c r="L590" s="76">
        <f t="shared" si="190"/>
        <v>242.46</v>
      </c>
      <c r="M590" s="76">
        <f t="shared" si="191"/>
        <v>0</v>
      </c>
      <c r="N590" s="76">
        <f t="shared" si="192"/>
        <v>0</v>
      </c>
      <c r="O590" s="76">
        <f t="shared" si="193"/>
        <v>309.42</v>
      </c>
      <c r="P590" s="76"/>
      <c r="Q590" s="51"/>
      <c r="T590" s="53">
        <v>13.47</v>
      </c>
    </row>
    <row r="591" spans="1:20" s="56" customFormat="1" ht="12" x14ac:dyDescent="0.2">
      <c r="A591" s="94">
        <v>38074</v>
      </c>
      <c r="B591" s="84">
        <v>44507</v>
      </c>
      <c r="C591" s="74" t="s">
        <v>968</v>
      </c>
      <c r="D591" s="73" t="s">
        <v>102</v>
      </c>
      <c r="E591" s="75">
        <v>2</v>
      </c>
      <c r="F591" s="75">
        <f t="shared" si="186"/>
        <v>20.48</v>
      </c>
      <c r="G591" s="75">
        <f t="shared" si="187"/>
        <v>26.13</v>
      </c>
      <c r="H591" s="76">
        <f t="shared" si="188"/>
        <v>52.26</v>
      </c>
      <c r="I591" s="75"/>
      <c r="J591" s="75"/>
      <c r="K591" s="75">
        <f t="shared" si="189"/>
        <v>2</v>
      </c>
      <c r="L591" s="76">
        <f t="shared" si="190"/>
        <v>40.96</v>
      </c>
      <c r="M591" s="76">
        <f t="shared" si="191"/>
        <v>0</v>
      </c>
      <c r="N591" s="76">
        <f t="shared" si="192"/>
        <v>0</v>
      </c>
      <c r="O591" s="76">
        <f t="shared" si="193"/>
        <v>52.26</v>
      </c>
      <c r="P591" s="76"/>
      <c r="Q591" s="51"/>
      <c r="T591" s="53">
        <v>20.48</v>
      </c>
    </row>
    <row r="592" spans="1:20" s="56" customFormat="1" ht="24" x14ac:dyDescent="0.2">
      <c r="A592" s="73" t="s">
        <v>308</v>
      </c>
      <c r="B592" s="84">
        <v>44508</v>
      </c>
      <c r="C592" s="74" t="s">
        <v>969</v>
      </c>
      <c r="D592" s="73" t="s">
        <v>102</v>
      </c>
      <c r="E592" s="75">
        <v>1</v>
      </c>
      <c r="F592" s="75">
        <f t="shared" si="186"/>
        <v>3.9</v>
      </c>
      <c r="G592" s="75">
        <f t="shared" si="187"/>
        <v>4.9800000000000004</v>
      </c>
      <c r="H592" s="76">
        <f t="shared" si="188"/>
        <v>4.9800000000000004</v>
      </c>
      <c r="I592" s="75"/>
      <c r="J592" s="75"/>
      <c r="K592" s="75">
        <f t="shared" si="189"/>
        <v>1</v>
      </c>
      <c r="L592" s="76">
        <f t="shared" si="190"/>
        <v>3.9</v>
      </c>
      <c r="M592" s="76">
        <f t="shared" si="191"/>
        <v>0</v>
      </c>
      <c r="N592" s="76">
        <f t="shared" si="192"/>
        <v>0</v>
      </c>
      <c r="O592" s="76">
        <f t="shared" si="193"/>
        <v>4.9800000000000004</v>
      </c>
      <c r="P592" s="76"/>
      <c r="Q592" s="51"/>
      <c r="T592" s="53">
        <v>3.9</v>
      </c>
    </row>
    <row r="593" spans="1:20" s="56" customFormat="1" ht="24" x14ac:dyDescent="0.2">
      <c r="A593" s="94">
        <v>38108</v>
      </c>
      <c r="B593" s="84">
        <v>44509</v>
      </c>
      <c r="C593" s="74" t="s">
        <v>970</v>
      </c>
      <c r="D593" s="73" t="s">
        <v>102</v>
      </c>
      <c r="E593" s="75">
        <v>6</v>
      </c>
      <c r="F593" s="75">
        <f t="shared" si="186"/>
        <v>38.54</v>
      </c>
      <c r="G593" s="75">
        <f t="shared" si="187"/>
        <v>49.17</v>
      </c>
      <c r="H593" s="76">
        <f t="shared" si="188"/>
        <v>295.02</v>
      </c>
      <c r="I593" s="75"/>
      <c r="J593" s="75"/>
      <c r="K593" s="75">
        <f t="shared" si="189"/>
        <v>6</v>
      </c>
      <c r="L593" s="76">
        <f t="shared" si="190"/>
        <v>231.24</v>
      </c>
      <c r="M593" s="76">
        <f t="shared" si="191"/>
        <v>0</v>
      </c>
      <c r="N593" s="76">
        <f t="shared" si="192"/>
        <v>0</v>
      </c>
      <c r="O593" s="76">
        <f t="shared" si="193"/>
        <v>295.02</v>
      </c>
      <c r="P593" s="76"/>
      <c r="Q593" s="51"/>
      <c r="T593" s="53">
        <v>38.54</v>
      </c>
    </row>
    <row r="594" spans="1:20" s="56" customFormat="1" ht="12" x14ac:dyDescent="0.2">
      <c r="A594" s="94">
        <v>38092</v>
      </c>
      <c r="B594" s="88">
        <v>40503</v>
      </c>
      <c r="C594" s="74" t="s">
        <v>971</v>
      </c>
      <c r="D594" s="73" t="s">
        <v>102</v>
      </c>
      <c r="E594" s="75">
        <v>49</v>
      </c>
      <c r="F594" s="75">
        <f t="shared" si="186"/>
        <v>1.85</v>
      </c>
      <c r="G594" s="75">
        <f t="shared" si="187"/>
        <v>2.36</v>
      </c>
      <c r="H594" s="76">
        <f t="shared" si="188"/>
        <v>115.64</v>
      </c>
      <c r="I594" s="75"/>
      <c r="J594" s="75"/>
      <c r="K594" s="75">
        <f t="shared" si="189"/>
        <v>49</v>
      </c>
      <c r="L594" s="76">
        <f t="shared" si="190"/>
        <v>90.65</v>
      </c>
      <c r="M594" s="76">
        <f t="shared" si="191"/>
        <v>0</v>
      </c>
      <c r="N594" s="76">
        <f t="shared" si="192"/>
        <v>0</v>
      </c>
      <c r="O594" s="76">
        <f t="shared" si="193"/>
        <v>115.64</v>
      </c>
      <c r="P594" s="76"/>
      <c r="Q594" s="51"/>
      <c r="T594" s="53">
        <v>1.85</v>
      </c>
    </row>
    <row r="595" spans="1:20" s="56" customFormat="1" ht="12" x14ac:dyDescent="0.2">
      <c r="A595" s="94">
        <v>38093</v>
      </c>
      <c r="B595" s="88">
        <v>40868</v>
      </c>
      <c r="C595" s="74" t="s">
        <v>972</v>
      </c>
      <c r="D595" s="73" t="s">
        <v>102</v>
      </c>
      <c r="E595" s="75">
        <v>20</v>
      </c>
      <c r="F595" s="75">
        <f t="shared" si="186"/>
        <v>1.91</v>
      </c>
      <c r="G595" s="75">
        <f t="shared" si="187"/>
        <v>2.44</v>
      </c>
      <c r="H595" s="76">
        <f t="shared" si="188"/>
        <v>48.8</v>
      </c>
      <c r="I595" s="75"/>
      <c r="J595" s="75"/>
      <c r="K595" s="75">
        <f t="shared" si="189"/>
        <v>20</v>
      </c>
      <c r="L595" s="76">
        <f t="shared" si="190"/>
        <v>38.200000000000003</v>
      </c>
      <c r="M595" s="76">
        <f t="shared" si="191"/>
        <v>0</v>
      </c>
      <c r="N595" s="76">
        <f t="shared" si="192"/>
        <v>0</v>
      </c>
      <c r="O595" s="76">
        <f t="shared" si="193"/>
        <v>48.8</v>
      </c>
      <c r="P595" s="76"/>
      <c r="Q595" s="51"/>
      <c r="T595" s="53">
        <v>1.91</v>
      </c>
    </row>
    <row r="596" spans="1:20" s="56" customFormat="1" ht="12" x14ac:dyDescent="0.2">
      <c r="A596" s="94">
        <v>38094</v>
      </c>
      <c r="B596" s="88">
        <v>41234</v>
      </c>
      <c r="C596" s="74" t="s">
        <v>973</v>
      </c>
      <c r="D596" s="73" t="s">
        <v>102</v>
      </c>
      <c r="E596" s="75">
        <v>5</v>
      </c>
      <c r="F596" s="75">
        <f t="shared" si="186"/>
        <v>2.34</v>
      </c>
      <c r="G596" s="75">
        <f t="shared" si="187"/>
        <v>2.99</v>
      </c>
      <c r="H596" s="76">
        <f t="shared" si="188"/>
        <v>14.95</v>
      </c>
      <c r="I596" s="75"/>
      <c r="J596" s="75"/>
      <c r="K596" s="75">
        <f t="shared" si="189"/>
        <v>5</v>
      </c>
      <c r="L596" s="76">
        <f t="shared" si="190"/>
        <v>11.7</v>
      </c>
      <c r="M596" s="76">
        <f t="shared" si="191"/>
        <v>0</v>
      </c>
      <c r="N596" s="76">
        <f t="shared" si="192"/>
        <v>0</v>
      </c>
      <c r="O596" s="76">
        <f t="shared" si="193"/>
        <v>14.95</v>
      </c>
      <c r="P596" s="76"/>
      <c r="Q596" s="51"/>
      <c r="T596" s="53">
        <v>2.34</v>
      </c>
    </row>
    <row r="597" spans="1:20" s="56" customFormat="1" ht="24" x14ac:dyDescent="0.2">
      <c r="A597" s="94">
        <v>38097</v>
      </c>
      <c r="B597" s="88">
        <v>41599</v>
      </c>
      <c r="C597" s="74" t="s">
        <v>974</v>
      </c>
      <c r="D597" s="73" t="s">
        <v>102</v>
      </c>
      <c r="E597" s="75">
        <v>1</v>
      </c>
      <c r="F597" s="75">
        <f t="shared" si="186"/>
        <v>4.76</v>
      </c>
      <c r="G597" s="75">
        <f t="shared" si="187"/>
        <v>6.07</v>
      </c>
      <c r="H597" s="76">
        <f t="shared" si="188"/>
        <v>6.07</v>
      </c>
      <c r="I597" s="75"/>
      <c r="J597" s="75"/>
      <c r="K597" s="75">
        <f t="shared" si="189"/>
        <v>1</v>
      </c>
      <c r="L597" s="76">
        <f t="shared" si="190"/>
        <v>4.76</v>
      </c>
      <c r="M597" s="76">
        <f t="shared" si="191"/>
        <v>0</v>
      </c>
      <c r="N597" s="76">
        <f t="shared" si="192"/>
        <v>0</v>
      </c>
      <c r="O597" s="76">
        <f t="shared" si="193"/>
        <v>6.07</v>
      </c>
      <c r="P597" s="76"/>
      <c r="Q597" s="51"/>
      <c r="T597" s="53">
        <v>4.76</v>
      </c>
    </row>
    <row r="598" spans="1:20" s="56" customFormat="1" ht="12" x14ac:dyDescent="0.2">
      <c r="A598" s="72"/>
      <c r="B598" s="71"/>
      <c r="C598" s="71"/>
      <c r="D598" s="71"/>
      <c r="E598" s="71"/>
      <c r="F598" s="75"/>
      <c r="G598" s="77" t="s">
        <v>975</v>
      </c>
      <c r="H598" s="78">
        <f>SUM(H585:H597)</f>
        <v>1368.3300000000002</v>
      </c>
      <c r="I598" s="71"/>
      <c r="J598" s="71"/>
      <c r="K598" s="71"/>
      <c r="L598" s="78">
        <f>SUM(L585:L597)</f>
        <v>1072.17</v>
      </c>
      <c r="M598" s="78">
        <f>SUM(M585:M597)</f>
        <v>0</v>
      </c>
      <c r="N598" s="78">
        <f>SUM(N585:N597)</f>
        <v>0</v>
      </c>
      <c r="O598" s="78">
        <f>SUM(O585:O597)</f>
        <v>1368.3300000000002</v>
      </c>
      <c r="P598" s="78"/>
      <c r="Q598" s="60"/>
      <c r="T598" s="59"/>
    </row>
    <row r="599" spans="1:20" s="56" customFormat="1" ht="12" x14ac:dyDescent="0.2">
      <c r="A599" s="72"/>
      <c r="B599" s="70" t="s">
        <v>976</v>
      </c>
      <c r="C599" s="71" t="s">
        <v>977</v>
      </c>
      <c r="D599" s="71"/>
      <c r="E599" s="71"/>
      <c r="F599" s="75"/>
      <c r="G599" s="71"/>
      <c r="H599" s="72"/>
      <c r="I599" s="71"/>
      <c r="J599" s="71"/>
      <c r="K599" s="71"/>
      <c r="L599" s="71"/>
      <c r="M599" s="72"/>
      <c r="N599" s="72"/>
      <c r="O599" s="72"/>
      <c r="P599" s="72"/>
      <c r="Q599" s="52"/>
      <c r="T599" s="59"/>
    </row>
    <row r="600" spans="1:20" s="56" customFormat="1" ht="12" x14ac:dyDescent="0.2">
      <c r="A600" s="94">
        <v>38075</v>
      </c>
      <c r="B600" s="84">
        <v>44531</v>
      </c>
      <c r="C600" s="74" t="s">
        <v>978</v>
      </c>
      <c r="D600" s="73" t="s">
        <v>102</v>
      </c>
      <c r="E600" s="75">
        <v>14</v>
      </c>
      <c r="F600" s="75">
        <f t="shared" ref="F600:F605" si="194">ROUND(T600*$T$10,2)</f>
        <v>12.82</v>
      </c>
      <c r="G600" s="75">
        <f t="shared" ref="G600:G605" si="195">ROUND(F600*(1+$U$1),2)</f>
        <v>16.36</v>
      </c>
      <c r="H600" s="76">
        <f t="shared" ref="H600:H605" si="196">ROUND(E600*G600,2)</f>
        <v>229.04</v>
      </c>
      <c r="I600" s="75"/>
      <c r="J600" s="75"/>
      <c r="K600" s="75">
        <f t="shared" ref="K600:K605" si="197">E600-I600</f>
        <v>14</v>
      </c>
      <c r="L600" s="76">
        <f t="shared" ref="L600:L605" si="198">ROUND(E600*F600,2)</f>
        <v>179.48</v>
      </c>
      <c r="M600" s="76">
        <f t="shared" ref="M600:M605" si="199">I600*G600</f>
        <v>0</v>
      </c>
      <c r="N600" s="76">
        <f t="shared" ref="N600:N605" si="200">J600*G600</f>
        <v>0</v>
      </c>
      <c r="O600" s="76">
        <f t="shared" ref="O600:O605" si="201">H600-N600</f>
        <v>229.04</v>
      </c>
      <c r="P600" s="76"/>
      <c r="Q600" s="51"/>
      <c r="T600" s="53">
        <v>12.82</v>
      </c>
    </row>
    <row r="601" spans="1:20" s="56" customFormat="1" ht="36" x14ac:dyDescent="0.2">
      <c r="A601" s="73" t="s">
        <v>308</v>
      </c>
      <c r="B601" s="84">
        <v>44532</v>
      </c>
      <c r="C601" s="74" t="s">
        <v>979</v>
      </c>
      <c r="D601" s="73" t="s">
        <v>102</v>
      </c>
      <c r="E601" s="75">
        <v>7</v>
      </c>
      <c r="F601" s="75">
        <f t="shared" si="194"/>
        <v>3.9</v>
      </c>
      <c r="G601" s="75">
        <f t="shared" si="195"/>
        <v>4.9800000000000004</v>
      </c>
      <c r="H601" s="76">
        <f t="shared" si="196"/>
        <v>34.86</v>
      </c>
      <c r="I601" s="75"/>
      <c r="J601" s="75"/>
      <c r="K601" s="75">
        <f t="shared" si="197"/>
        <v>7</v>
      </c>
      <c r="L601" s="76">
        <f t="shared" si="198"/>
        <v>27.3</v>
      </c>
      <c r="M601" s="76">
        <f t="shared" si="199"/>
        <v>0</v>
      </c>
      <c r="N601" s="76">
        <f t="shared" si="200"/>
        <v>0</v>
      </c>
      <c r="O601" s="76">
        <f t="shared" si="201"/>
        <v>34.86</v>
      </c>
      <c r="P601" s="76"/>
      <c r="Q601" s="51"/>
      <c r="T601" s="53">
        <v>3.9</v>
      </c>
    </row>
    <row r="602" spans="1:20" s="56" customFormat="1" ht="12" x14ac:dyDescent="0.2">
      <c r="A602" s="73" t="s">
        <v>980</v>
      </c>
      <c r="B602" s="84">
        <v>44533</v>
      </c>
      <c r="C602" s="74" t="s">
        <v>981</v>
      </c>
      <c r="D602" s="73" t="s">
        <v>102</v>
      </c>
      <c r="E602" s="75">
        <v>191</v>
      </c>
      <c r="F602" s="75">
        <f t="shared" si="194"/>
        <v>16.91</v>
      </c>
      <c r="G602" s="75">
        <f t="shared" si="195"/>
        <v>21.58</v>
      </c>
      <c r="H602" s="76">
        <f t="shared" si="196"/>
        <v>4121.78</v>
      </c>
      <c r="I602" s="75"/>
      <c r="J602" s="75"/>
      <c r="K602" s="75">
        <f t="shared" si="197"/>
        <v>191</v>
      </c>
      <c r="L602" s="76">
        <f t="shared" si="198"/>
        <v>3229.81</v>
      </c>
      <c r="M602" s="76">
        <f t="shared" si="199"/>
        <v>0</v>
      </c>
      <c r="N602" s="76">
        <f t="shared" si="200"/>
        <v>0</v>
      </c>
      <c r="O602" s="76">
        <f t="shared" si="201"/>
        <v>4121.78</v>
      </c>
      <c r="P602" s="76"/>
      <c r="Q602" s="51"/>
      <c r="T602" s="53">
        <v>16.91</v>
      </c>
    </row>
    <row r="603" spans="1:20" s="56" customFormat="1" ht="12" x14ac:dyDescent="0.2">
      <c r="A603" s="73" t="s">
        <v>982</v>
      </c>
      <c r="B603" s="84">
        <v>44534</v>
      </c>
      <c r="C603" s="74" t="s">
        <v>983</v>
      </c>
      <c r="D603" s="73" t="s">
        <v>102</v>
      </c>
      <c r="E603" s="75">
        <v>8</v>
      </c>
      <c r="F603" s="75">
        <f t="shared" si="194"/>
        <v>36.520000000000003</v>
      </c>
      <c r="G603" s="75">
        <f t="shared" si="195"/>
        <v>46.6</v>
      </c>
      <c r="H603" s="76">
        <f t="shared" si="196"/>
        <v>372.8</v>
      </c>
      <c r="I603" s="75"/>
      <c r="J603" s="75"/>
      <c r="K603" s="75">
        <f t="shared" si="197"/>
        <v>8</v>
      </c>
      <c r="L603" s="76">
        <f t="shared" si="198"/>
        <v>292.16000000000003</v>
      </c>
      <c r="M603" s="76">
        <f t="shared" si="199"/>
        <v>0</v>
      </c>
      <c r="N603" s="76">
        <f t="shared" si="200"/>
        <v>0</v>
      </c>
      <c r="O603" s="76">
        <f t="shared" si="201"/>
        <v>372.8</v>
      </c>
      <c r="P603" s="76"/>
      <c r="Q603" s="51"/>
      <c r="T603" s="53">
        <v>36.520000000000003</v>
      </c>
    </row>
    <row r="604" spans="1:20" s="56" customFormat="1" ht="12" x14ac:dyDescent="0.2">
      <c r="A604" s="94">
        <v>38093</v>
      </c>
      <c r="B604" s="84">
        <v>44535</v>
      </c>
      <c r="C604" s="74" t="s">
        <v>984</v>
      </c>
      <c r="D604" s="73" t="s">
        <v>102</v>
      </c>
      <c r="E604" s="75">
        <v>191</v>
      </c>
      <c r="F604" s="75">
        <f t="shared" si="194"/>
        <v>1.91</v>
      </c>
      <c r="G604" s="75">
        <f t="shared" si="195"/>
        <v>2.44</v>
      </c>
      <c r="H604" s="76">
        <f t="shared" si="196"/>
        <v>466.04</v>
      </c>
      <c r="I604" s="75"/>
      <c r="J604" s="75"/>
      <c r="K604" s="75">
        <f t="shared" si="197"/>
        <v>191</v>
      </c>
      <c r="L604" s="76">
        <f t="shared" si="198"/>
        <v>364.81</v>
      </c>
      <c r="M604" s="76">
        <f t="shared" si="199"/>
        <v>0</v>
      </c>
      <c r="N604" s="76">
        <f t="shared" si="200"/>
        <v>0</v>
      </c>
      <c r="O604" s="76">
        <f t="shared" si="201"/>
        <v>466.04</v>
      </c>
      <c r="P604" s="76"/>
      <c r="Q604" s="51"/>
      <c r="T604" s="53">
        <v>1.91</v>
      </c>
    </row>
    <row r="605" spans="1:20" s="56" customFormat="1" ht="12" x14ac:dyDescent="0.2">
      <c r="A605" s="94">
        <v>38091</v>
      </c>
      <c r="B605" s="84">
        <v>44536</v>
      </c>
      <c r="C605" s="74" t="s">
        <v>985</v>
      </c>
      <c r="D605" s="73" t="s">
        <v>102</v>
      </c>
      <c r="E605" s="75">
        <v>28</v>
      </c>
      <c r="F605" s="75">
        <f t="shared" si="194"/>
        <v>1.95</v>
      </c>
      <c r="G605" s="75">
        <f t="shared" si="195"/>
        <v>2.4900000000000002</v>
      </c>
      <c r="H605" s="76">
        <f t="shared" si="196"/>
        <v>69.72</v>
      </c>
      <c r="I605" s="75"/>
      <c r="J605" s="75"/>
      <c r="K605" s="75">
        <f t="shared" si="197"/>
        <v>28</v>
      </c>
      <c r="L605" s="76">
        <f t="shared" si="198"/>
        <v>54.6</v>
      </c>
      <c r="M605" s="76">
        <f t="shared" si="199"/>
        <v>0</v>
      </c>
      <c r="N605" s="76">
        <f t="shared" si="200"/>
        <v>0</v>
      </c>
      <c r="O605" s="76">
        <f t="shared" si="201"/>
        <v>69.72</v>
      </c>
      <c r="P605" s="76"/>
      <c r="Q605" s="51"/>
      <c r="T605" s="53">
        <v>1.95</v>
      </c>
    </row>
    <row r="606" spans="1:20" s="56" customFormat="1" ht="12" x14ac:dyDescent="0.2">
      <c r="A606" s="72"/>
      <c r="B606" s="71"/>
      <c r="C606" s="71"/>
      <c r="D606" s="71"/>
      <c r="E606" s="71"/>
      <c r="F606" s="75"/>
      <c r="G606" s="77" t="s">
        <v>986</v>
      </c>
      <c r="H606" s="78">
        <f>SUM(H600:H605)</f>
        <v>5294.24</v>
      </c>
      <c r="I606" s="71"/>
      <c r="J606" s="71"/>
      <c r="K606" s="71"/>
      <c r="L606" s="78">
        <f>SUM(L600:L605)</f>
        <v>4148.16</v>
      </c>
      <c r="M606" s="78">
        <f>SUM(M600:M605)</f>
        <v>0</v>
      </c>
      <c r="N606" s="78">
        <f>SUM(N600:N605)</f>
        <v>0</v>
      </c>
      <c r="O606" s="78">
        <f>SUM(O600:O605)</f>
        <v>5294.24</v>
      </c>
      <c r="P606" s="78"/>
      <c r="Q606" s="60"/>
      <c r="T606" s="59"/>
    </row>
    <row r="607" spans="1:20" s="56" customFormat="1" ht="12" x14ac:dyDescent="0.2">
      <c r="A607" s="72"/>
      <c r="B607" s="70" t="s">
        <v>987</v>
      </c>
      <c r="C607" s="71" t="s">
        <v>988</v>
      </c>
      <c r="D607" s="71"/>
      <c r="E607" s="71"/>
      <c r="F607" s="75"/>
      <c r="G607" s="71"/>
      <c r="H607" s="72"/>
      <c r="I607" s="71"/>
      <c r="J607" s="71"/>
      <c r="K607" s="71"/>
      <c r="L607" s="71"/>
      <c r="M607" s="72"/>
      <c r="N607" s="72"/>
      <c r="O607" s="72"/>
      <c r="P607" s="72"/>
      <c r="Q607" s="52"/>
      <c r="T607" s="59"/>
    </row>
    <row r="608" spans="1:20" s="56" customFormat="1" ht="12" x14ac:dyDescent="0.2">
      <c r="A608" s="73" t="s">
        <v>989</v>
      </c>
      <c r="B608" s="73" t="s">
        <v>990</v>
      </c>
      <c r="C608" s="74" t="s">
        <v>991</v>
      </c>
      <c r="D608" s="73" t="s">
        <v>102</v>
      </c>
      <c r="E608" s="75">
        <v>64</v>
      </c>
      <c r="F608" s="75">
        <f t="shared" ref="F608:F613" si="202">ROUND(T608*$T$10,2)</f>
        <v>3.46</v>
      </c>
      <c r="G608" s="75">
        <f t="shared" ref="G608:G613" si="203">ROUND(F608*(1+$U$1),2)</f>
        <v>4.41</v>
      </c>
      <c r="H608" s="76">
        <f t="shared" ref="H608:H613" si="204">ROUND(E608*G608,2)</f>
        <v>282.24</v>
      </c>
      <c r="I608" s="75"/>
      <c r="J608" s="75"/>
      <c r="K608" s="75">
        <f t="shared" ref="K608:K613" si="205">E608-I608</f>
        <v>64</v>
      </c>
      <c r="L608" s="76">
        <f t="shared" ref="L608:L613" si="206">ROUND(E608*F608,2)</f>
        <v>221.44</v>
      </c>
      <c r="M608" s="76">
        <f t="shared" ref="M608:M613" si="207">I608*G608</f>
        <v>0</v>
      </c>
      <c r="N608" s="76">
        <f t="shared" ref="N608:N613" si="208">J608*G608</f>
        <v>0</v>
      </c>
      <c r="O608" s="76">
        <f t="shared" ref="O608:O613" si="209">H608-N608</f>
        <v>282.24</v>
      </c>
      <c r="P608" s="76"/>
      <c r="Q608" s="51"/>
      <c r="T608" s="53">
        <v>3.46</v>
      </c>
    </row>
    <row r="609" spans="1:20" s="56" customFormat="1" ht="12" x14ac:dyDescent="0.2">
      <c r="A609" s="94">
        <v>11950</v>
      </c>
      <c r="B609" s="73" t="s">
        <v>992</v>
      </c>
      <c r="C609" s="74" t="s">
        <v>993</v>
      </c>
      <c r="D609" s="73" t="s">
        <v>102</v>
      </c>
      <c r="E609" s="76">
        <v>1200</v>
      </c>
      <c r="F609" s="75">
        <f t="shared" si="202"/>
        <v>0.14000000000000001</v>
      </c>
      <c r="G609" s="75">
        <f t="shared" si="203"/>
        <v>0.18</v>
      </c>
      <c r="H609" s="76">
        <f t="shared" si="204"/>
        <v>216</v>
      </c>
      <c r="I609" s="76"/>
      <c r="J609" s="76"/>
      <c r="K609" s="75">
        <f t="shared" si="205"/>
        <v>1200</v>
      </c>
      <c r="L609" s="76">
        <f t="shared" si="206"/>
        <v>168</v>
      </c>
      <c r="M609" s="76">
        <f t="shared" si="207"/>
        <v>0</v>
      </c>
      <c r="N609" s="76">
        <f t="shared" si="208"/>
        <v>0</v>
      </c>
      <c r="O609" s="76">
        <f t="shared" si="209"/>
        <v>216</v>
      </c>
      <c r="P609" s="76"/>
      <c r="Q609" s="51"/>
      <c r="T609" s="53">
        <v>0.14000000000000001</v>
      </c>
    </row>
    <row r="610" spans="1:20" s="56" customFormat="1" ht="12" x14ac:dyDescent="0.2">
      <c r="A610" s="73" t="s">
        <v>308</v>
      </c>
      <c r="B610" s="73" t="s">
        <v>994</v>
      </c>
      <c r="C610" s="74" t="s">
        <v>995</v>
      </c>
      <c r="D610" s="73" t="s">
        <v>102</v>
      </c>
      <c r="E610" s="75">
        <v>32</v>
      </c>
      <c r="F610" s="75">
        <f t="shared" si="202"/>
        <v>4.9000000000000004</v>
      </c>
      <c r="G610" s="75">
        <f t="shared" si="203"/>
        <v>6.25</v>
      </c>
      <c r="H610" s="76">
        <f t="shared" si="204"/>
        <v>200</v>
      </c>
      <c r="I610" s="75"/>
      <c r="J610" s="75"/>
      <c r="K610" s="75">
        <f t="shared" si="205"/>
        <v>32</v>
      </c>
      <c r="L610" s="76">
        <f t="shared" si="206"/>
        <v>156.80000000000001</v>
      </c>
      <c r="M610" s="76">
        <f t="shared" si="207"/>
        <v>0</v>
      </c>
      <c r="N610" s="76">
        <f t="shared" si="208"/>
        <v>0</v>
      </c>
      <c r="O610" s="76">
        <f t="shared" si="209"/>
        <v>200</v>
      </c>
      <c r="P610" s="76"/>
      <c r="Q610" s="51"/>
      <c r="T610" s="53">
        <v>4.9000000000000004</v>
      </c>
    </row>
    <row r="611" spans="1:20" s="56" customFormat="1" ht="12" x14ac:dyDescent="0.2">
      <c r="A611" s="73" t="s">
        <v>308</v>
      </c>
      <c r="B611" s="73" t="s">
        <v>996</v>
      </c>
      <c r="C611" s="74" t="s">
        <v>997</v>
      </c>
      <c r="D611" s="73" t="s">
        <v>102</v>
      </c>
      <c r="E611" s="75">
        <v>32</v>
      </c>
      <c r="F611" s="75">
        <f t="shared" si="202"/>
        <v>17</v>
      </c>
      <c r="G611" s="75">
        <f t="shared" si="203"/>
        <v>21.69</v>
      </c>
      <c r="H611" s="76">
        <f t="shared" si="204"/>
        <v>694.08</v>
      </c>
      <c r="I611" s="75"/>
      <c r="J611" s="75"/>
      <c r="K611" s="75">
        <f t="shared" si="205"/>
        <v>32</v>
      </c>
      <c r="L611" s="76">
        <f t="shared" si="206"/>
        <v>544</v>
      </c>
      <c r="M611" s="76">
        <f t="shared" si="207"/>
        <v>0</v>
      </c>
      <c r="N611" s="76">
        <f t="shared" si="208"/>
        <v>0</v>
      </c>
      <c r="O611" s="76">
        <f t="shared" si="209"/>
        <v>694.08</v>
      </c>
      <c r="P611" s="76"/>
      <c r="Q611" s="51"/>
      <c r="T611" s="53">
        <v>17</v>
      </c>
    </row>
    <row r="612" spans="1:20" s="56" customFormat="1" ht="12" x14ac:dyDescent="0.2">
      <c r="A612" s="94">
        <v>39997</v>
      </c>
      <c r="B612" s="73" t="s">
        <v>998</v>
      </c>
      <c r="C612" s="74" t="s">
        <v>999</v>
      </c>
      <c r="D612" s="73" t="s">
        <v>102</v>
      </c>
      <c r="E612" s="75">
        <v>300</v>
      </c>
      <c r="F612" s="75">
        <f t="shared" si="202"/>
        <v>0.14000000000000001</v>
      </c>
      <c r="G612" s="75">
        <f t="shared" si="203"/>
        <v>0.18</v>
      </c>
      <c r="H612" s="76">
        <f t="shared" si="204"/>
        <v>54</v>
      </c>
      <c r="I612" s="75"/>
      <c r="J612" s="75"/>
      <c r="K612" s="75">
        <f t="shared" si="205"/>
        <v>300</v>
      </c>
      <c r="L612" s="76">
        <f t="shared" si="206"/>
        <v>42</v>
      </c>
      <c r="M612" s="76">
        <f t="shared" si="207"/>
        <v>0</v>
      </c>
      <c r="N612" s="76">
        <f t="shared" si="208"/>
        <v>0</v>
      </c>
      <c r="O612" s="76">
        <f t="shared" si="209"/>
        <v>54</v>
      </c>
      <c r="P612" s="76"/>
      <c r="Q612" s="51"/>
      <c r="T612" s="53">
        <v>0.14000000000000001</v>
      </c>
    </row>
    <row r="613" spans="1:20" s="56" customFormat="1" ht="12" x14ac:dyDescent="0.2">
      <c r="A613" s="94">
        <v>39996</v>
      </c>
      <c r="B613" s="73" t="s">
        <v>1000</v>
      </c>
      <c r="C613" s="74" t="s">
        <v>1001</v>
      </c>
      <c r="D613" s="73" t="s">
        <v>81</v>
      </c>
      <c r="E613" s="75">
        <v>120</v>
      </c>
      <c r="F613" s="75">
        <f t="shared" si="202"/>
        <v>2.35</v>
      </c>
      <c r="G613" s="75">
        <f t="shared" si="203"/>
        <v>3</v>
      </c>
      <c r="H613" s="76">
        <f t="shared" si="204"/>
        <v>360</v>
      </c>
      <c r="I613" s="75"/>
      <c r="J613" s="75"/>
      <c r="K613" s="75">
        <f t="shared" si="205"/>
        <v>120</v>
      </c>
      <c r="L613" s="76">
        <f t="shared" si="206"/>
        <v>282</v>
      </c>
      <c r="M613" s="76">
        <f t="shared" si="207"/>
        <v>0</v>
      </c>
      <c r="N613" s="76">
        <f t="shared" si="208"/>
        <v>0</v>
      </c>
      <c r="O613" s="76">
        <f t="shared" si="209"/>
        <v>360</v>
      </c>
      <c r="P613" s="76"/>
      <c r="Q613" s="51"/>
      <c r="T613" s="53">
        <v>2.35</v>
      </c>
    </row>
    <row r="614" spans="1:20" s="56" customFormat="1" ht="12" x14ac:dyDescent="0.2">
      <c r="A614" s="72"/>
      <c r="B614" s="71"/>
      <c r="C614" s="71"/>
      <c r="D614" s="71"/>
      <c r="E614" s="71"/>
      <c r="F614" s="75"/>
      <c r="G614" s="77" t="s">
        <v>1002</v>
      </c>
      <c r="H614" s="78">
        <f>SUM(H608:H613)</f>
        <v>1806.3200000000002</v>
      </c>
      <c r="I614" s="71"/>
      <c r="J614" s="71"/>
      <c r="K614" s="71"/>
      <c r="L614" s="78">
        <f>SUM(L608:L613)</f>
        <v>1414.24</v>
      </c>
      <c r="M614" s="78">
        <f>SUM(M608:M613)</f>
        <v>0</v>
      </c>
      <c r="N614" s="78">
        <f>SUM(N608:N613)</f>
        <v>0</v>
      </c>
      <c r="O614" s="78">
        <f>SUM(O608:O613)</f>
        <v>1806.3200000000002</v>
      </c>
      <c r="P614" s="78"/>
      <c r="Q614" s="60"/>
      <c r="T614" s="59"/>
    </row>
    <row r="615" spans="1:20" s="56" customFormat="1" ht="24" x14ac:dyDescent="0.2">
      <c r="A615" s="72"/>
      <c r="B615" s="70" t="s">
        <v>1003</v>
      </c>
      <c r="C615" s="71" t="s">
        <v>1004</v>
      </c>
      <c r="D615" s="71"/>
      <c r="E615" s="71"/>
      <c r="F615" s="75"/>
      <c r="G615" s="71"/>
      <c r="H615" s="72"/>
      <c r="I615" s="71"/>
      <c r="J615" s="71"/>
      <c r="K615" s="71"/>
      <c r="L615" s="71"/>
      <c r="M615" s="72"/>
      <c r="N615" s="72"/>
      <c r="O615" s="72"/>
      <c r="P615" s="72"/>
      <c r="Q615" s="52"/>
      <c r="T615" s="59"/>
    </row>
    <row r="616" spans="1:20" s="56" customFormat="1" ht="12" x14ac:dyDescent="0.2">
      <c r="A616" s="72"/>
      <c r="B616" s="70" t="s">
        <v>1005</v>
      </c>
      <c r="C616" s="71" t="s">
        <v>1006</v>
      </c>
      <c r="D616" s="71"/>
      <c r="E616" s="71"/>
      <c r="F616" s="75"/>
      <c r="G616" s="71"/>
      <c r="H616" s="72"/>
      <c r="I616" s="71"/>
      <c r="J616" s="71"/>
      <c r="K616" s="71"/>
      <c r="L616" s="71"/>
      <c r="M616" s="76">
        <f t="shared" ref="M616:M632" si="210">I616*G616</f>
        <v>0</v>
      </c>
      <c r="N616" s="76">
        <f t="shared" ref="N616:N632" si="211">J616*G616</f>
        <v>0</v>
      </c>
      <c r="O616" s="76">
        <f t="shared" ref="O616:O632" si="212">H616-N616</f>
        <v>0</v>
      </c>
      <c r="P616" s="72"/>
      <c r="Q616" s="52"/>
      <c r="T616" s="59"/>
    </row>
    <row r="617" spans="1:20" s="56" customFormat="1" ht="12" x14ac:dyDescent="0.2">
      <c r="A617" s="94">
        <v>4274</v>
      </c>
      <c r="B617" s="73" t="s">
        <v>1007</v>
      </c>
      <c r="C617" s="74" t="s">
        <v>1008</v>
      </c>
      <c r="D617" s="73" t="s">
        <v>1009</v>
      </c>
      <c r="E617" s="75">
        <v>1</v>
      </c>
      <c r="F617" s="75">
        <f>ROUND(T617*$T$10,2)</f>
        <v>72.459999999999994</v>
      </c>
      <c r="G617" s="75">
        <f>ROUND(F617*(1+$U$1),2)</f>
        <v>92.45</v>
      </c>
      <c r="H617" s="76">
        <f>ROUND(E617*G617,2)</f>
        <v>92.45</v>
      </c>
      <c r="I617" s="75"/>
      <c r="J617" s="75"/>
      <c r="K617" s="75">
        <f t="shared" ref="K617:K632" si="213">E617-I617</f>
        <v>1</v>
      </c>
      <c r="L617" s="76">
        <f>ROUND(E617*F617,2)</f>
        <v>72.459999999999994</v>
      </c>
      <c r="M617" s="76">
        <f t="shared" si="210"/>
        <v>0</v>
      </c>
      <c r="N617" s="76">
        <f t="shared" si="211"/>
        <v>0</v>
      </c>
      <c r="O617" s="76">
        <f t="shared" si="212"/>
        <v>92.45</v>
      </c>
      <c r="P617" s="76"/>
      <c r="Q617" s="51"/>
      <c r="T617" s="53">
        <v>72.459999999999994</v>
      </c>
    </row>
    <row r="618" spans="1:20" s="56" customFormat="1" ht="12" x14ac:dyDescent="0.2">
      <c r="A618" s="95">
        <v>863</v>
      </c>
      <c r="B618" s="73" t="s">
        <v>1010</v>
      </c>
      <c r="C618" s="74" t="s">
        <v>1011</v>
      </c>
      <c r="D618" s="73" t="s">
        <v>81</v>
      </c>
      <c r="E618" s="75">
        <v>600</v>
      </c>
      <c r="F618" s="75">
        <f>ROUND(T618*$T$10,2)</f>
        <v>13.97</v>
      </c>
      <c r="G618" s="75">
        <f>ROUND(F618*(1+$U$1),2)</f>
        <v>17.82</v>
      </c>
      <c r="H618" s="76">
        <f>ROUND(E618*G618,2)</f>
        <v>10692</v>
      </c>
      <c r="I618" s="75"/>
      <c r="J618" s="75"/>
      <c r="K618" s="75">
        <f t="shared" si="213"/>
        <v>600</v>
      </c>
      <c r="L618" s="76">
        <f>ROUND(E618*F618,2)</f>
        <v>8382</v>
      </c>
      <c r="M618" s="76">
        <f t="shared" si="210"/>
        <v>0</v>
      </c>
      <c r="N618" s="76">
        <f t="shared" si="211"/>
        <v>0</v>
      </c>
      <c r="O618" s="76">
        <f t="shared" si="212"/>
        <v>10692</v>
      </c>
      <c r="P618" s="76"/>
      <c r="Q618" s="51"/>
      <c r="T618" s="53">
        <v>13.97</v>
      </c>
    </row>
    <row r="619" spans="1:20" s="56" customFormat="1" ht="12" x14ac:dyDescent="0.2">
      <c r="A619" s="73" t="s">
        <v>1012</v>
      </c>
      <c r="B619" s="73" t="s">
        <v>1013</v>
      </c>
      <c r="C619" s="74" t="s">
        <v>1014</v>
      </c>
      <c r="D619" s="73" t="s">
        <v>1009</v>
      </c>
      <c r="E619" s="75">
        <v>12</v>
      </c>
      <c r="F619" s="75">
        <f>ROUND(T619*$T$10,2)</f>
        <v>61.88</v>
      </c>
      <c r="G619" s="75">
        <f>ROUND(F619*(1+$U$1),2)</f>
        <v>78.95</v>
      </c>
      <c r="H619" s="76">
        <f>ROUND(E619*G619,2)</f>
        <v>947.4</v>
      </c>
      <c r="I619" s="75"/>
      <c r="J619" s="75"/>
      <c r="K619" s="75">
        <f t="shared" si="213"/>
        <v>12</v>
      </c>
      <c r="L619" s="76">
        <f>ROUND(E619*F619,2)</f>
        <v>742.56</v>
      </c>
      <c r="M619" s="76">
        <f t="shared" si="210"/>
        <v>0</v>
      </c>
      <c r="N619" s="76">
        <f t="shared" si="211"/>
        <v>0</v>
      </c>
      <c r="O619" s="76">
        <f t="shared" si="212"/>
        <v>947.4</v>
      </c>
      <c r="P619" s="76"/>
      <c r="Q619" s="51"/>
      <c r="T619" s="53">
        <v>61.88</v>
      </c>
    </row>
    <row r="620" spans="1:20" s="56" customFormat="1" ht="12" x14ac:dyDescent="0.2">
      <c r="A620" s="72"/>
      <c r="B620" s="70" t="s">
        <v>1015</v>
      </c>
      <c r="C620" s="71" t="s">
        <v>1016</v>
      </c>
      <c r="D620" s="72"/>
      <c r="E620" s="72"/>
      <c r="F620" s="75"/>
      <c r="G620" s="72"/>
      <c r="H620" s="72"/>
      <c r="I620" s="72"/>
      <c r="J620" s="72"/>
      <c r="K620" s="75">
        <f t="shared" si="213"/>
        <v>0</v>
      </c>
      <c r="L620" s="72"/>
      <c r="M620" s="76">
        <f t="shared" si="210"/>
        <v>0</v>
      </c>
      <c r="N620" s="76">
        <f t="shared" si="211"/>
        <v>0</v>
      </c>
      <c r="O620" s="76">
        <f t="shared" si="212"/>
        <v>0</v>
      </c>
      <c r="P620" s="72"/>
      <c r="Q620" s="52"/>
      <c r="T620" s="52"/>
    </row>
    <row r="621" spans="1:20" s="56" customFormat="1" ht="12" x14ac:dyDescent="0.2">
      <c r="A621" s="73" t="s">
        <v>308</v>
      </c>
      <c r="B621" s="73" t="s">
        <v>1017</v>
      </c>
      <c r="C621" s="74" t="s">
        <v>1018</v>
      </c>
      <c r="D621" s="73" t="s">
        <v>1009</v>
      </c>
      <c r="E621" s="75">
        <v>2</v>
      </c>
      <c r="F621" s="75">
        <f>ROUND(T621*$T$10,2)</f>
        <v>4.3899999999999997</v>
      </c>
      <c r="G621" s="75">
        <f>ROUND(F621*(1+$U$1),2)</f>
        <v>5.6</v>
      </c>
      <c r="H621" s="76">
        <f>ROUND(E621*G621,2)</f>
        <v>11.2</v>
      </c>
      <c r="I621" s="75"/>
      <c r="J621" s="75"/>
      <c r="K621" s="75">
        <f t="shared" si="213"/>
        <v>2</v>
      </c>
      <c r="L621" s="76">
        <f>ROUND(E621*F621,2)</f>
        <v>8.7799999999999994</v>
      </c>
      <c r="M621" s="76">
        <f t="shared" si="210"/>
        <v>0</v>
      </c>
      <c r="N621" s="76">
        <f t="shared" si="211"/>
        <v>0</v>
      </c>
      <c r="O621" s="76">
        <f t="shared" si="212"/>
        <v>11.2</v>
      </c>
      <c r="P621" s="76"/>
      <c r="Q621" s="51"/>
      <c r="T621" s="53">
        <v>4.3899999999999997</v>
      </c>
    </row>
    <row r="622" spans="1:20" s="56" customFormat="1" ht="12" x14ac:dyDescent="0.2">
      <c r="A622" s="73" t="s">
        <v>1019</v>
      </c>
      <c r="B622" s="73" t="s">
        <v>1020</v>
      </c>
      <c r="C622" s="74" t="s">
        <v>1021</v>
      </c>
      <c r="D622" s="73" t="s">
        <v>1009</v>
      </c>
      <c r="E622" s="75">
        <v>40</v>
      </c>
      <c r="F622" s="75">
        <f>ROUND(T622*$T$10,2)</f>
        <v>5.64</v>
      </c>
      <c r="G622" s="75">
        <f>ROUND(F622*(1+$U$1),2)</f>
        <v>7.2</v>
      </c>
      <c r="H622" s="76">
        <f>ROUND(E622*G622,2)</f>
        <v>288</v>
      </c>
      <c r="I622" s="75"/>
      <c r="J622" s="75"/>
      <c r="K622" s="75">
        <f t="shared" si="213"/>
        <v>40</v>
      </c>
      <c r="L622" s="76">
        <f>ROUND(E622*F622,2)</f>
        <v>225.6</v>
      </c>
      <c r="M622" s="76">
        <f t="shared" si="210"/>
        <v>0</v>
      </c>
      <c r="N622" s="76">
        <f t="shared" si="211"/>
        <v>0</v>
      </c>
      <c r="O622" s="76">
        <f t="shared" si="212"/>
        <v>288</v>
      </c>
      <c r="P622" s="76"/>
      <c r="Q622" s="51"/>
      <c r="T622" s="53">
        <v>5.64</v>
      </c>
    </row>
    <row r="623" spans="1:20" s="56" customFormat="1" ht="12" x14ac:dyDescent="0.2">
      <c r="A623" s="73" t="s">
        <v>308</v>
      </c>
      <c r="B623" s="73" t="s">
        <v>1022</v>
      </c>
      <c r="C623" s="74" t="s">
        <v>1023</v>
      </c>
      <c r="D623" s="73" t="s">
        <v>1009</v>
      </c>
      <c r="E623" s="75">
        <v>76</v>
      </c>
      <c r="F623" s="75">
        <f>ROUND(T623*$T$10,2)</f>
        <v>1.84</v>
      </c>
      <c r="G623" s="75">
        <f>ROUND(F623*(1+$U$1),2)</f>
        <v>2.35</v>
      </c>
      <c r="H623" s="76">
        <f>ROUND(E623*G623,2)</f>
        <v>178.6</v>
      </c>
      <c r="I623" s="75"/>
      <c r="J623" s="75"/>
      <c r="K623" s="75">
        <f t="shared" si="213"/>
        <v>76</v>
      </c>
      <c r="L623" s="76">
        <f>ROUND(E623*F623,2)</f>
        <v>139.84</v>
      </c>
      <c r="M623" s="76">
        <f t="shared" si="210"/>
        <v>0</v>
      </c>
      <c r="N623" s="76">
        <f t="shared" si="211"/>
        <v>0</v>
      </c>
      <c r="O623" s="76">
        <f t="shared" si="212"/>
        <v>178.6</v>
      </c>
      <c r="P623" s="76"/>
      <c r="Q623" s="51"/>
      <c r="T623" s="53">
        <v>1.84</v>
      </c>
    </row>
    <row r="624" spans="1:20" s="56" customFormat="1" ht="12" x14ac:dyDescent="0.2">
      <c r="A624" s="73" t="s">
        <v>1024</v>
      </c>
      <c r="B624" s="73" t="s">
        <v>1025</v>
      </c>
      <c r="C624" s="74" t="s">
        <v>1026</v>
      </c>
      <c r="D624" s="73" t="s">
        <v>1009</v>
      </c>
      <c r="E624" s="75">
        <v>130</v>
      </c>
      <c r="F624" s="75">
        <f>ROUND(T624*$T$10,2)</f>
        <v>6.28</v>
      </c>
      <c r="G624" s="75">
        <f>ROUND(F624*(1+$U$1),2)</f>
        <v>8.01</v>
      </c>
      <c r="H624" s="76">
        <f>ROUND(E624*G624,2)</f>
        <v>1041.3</v>
      </c>
      <c r="I624" s="75"/>
      <c r="J624" s="75"/>
      <c r="K624" s="75">
        <f t="shared" si="213"/>
        <v>130</v>
      </c>
      <c r="L624" s="76">
        <f>ROUND(E624*F624,2)</f>
        <v>816.4</v>
      </c>
      <c r="M624" s="76">
        <f t="shared" si="210"/>
        <v>0</v>
      </c>
      <c r="N624" s="76">
        <f t="shared" si="211"/>
        <v>0</v>
      </c>
      <c r="O624" s="76">
        <f t="shared" si="212"/>
        <v>1041.3</v>
      </c>
      <c r="P624" s="76"/>
      <c r="Q624" s="51"/>
      <c r="T624" s="53">
        <v>6.28</v>
      </c>
    </row>
    <row r="625" spans="1:20" s="56" customFormat="1" ht="12" x14ac:dyDescent="0.2">
      <c r="A625" s="72"/>
      <c r="B625" s="70" t="s">
        <v>1027</v>
      </c>
      <c r="C625" s="71" t="s">
        <v>1028</v>
      </c>
      <c r="D625" s="72"/>
      <c r="E625" s="72"/>
      <c r="F625" s="75"/>
      <c r="G625" s="72"/>
      <c r="H625" s="72"/>
      <c r="I625" s="72"/>
      <c r="J625" s="72"/>
      <c r="K625" s="75">
        <f t="shared" si="213"/>
        <v>0</v>
      </c>
      <c r="L625" s="72"/>
      <c r="M625" s="76">
        <f t="shared" si="210"/>
        <v>0</v>
      </c>
      <c r="N625" s="76">
        <f t="shared" si="211"/>
        <v>0</v>
      </c>
      <c r="O625" s="76">
        <f t="shared" si="212"/>
        <v>0</v>
      </c>
      <c r="P625" s="72"/>
      <c r="Q625" s="52"/>
      <c r="T625" s="52"/>
    </row>
    <row r="626" spans="1:20" s="56" customFormat="1" ht="12" x14ac:dyDescent="0.2">
      <c r="A626" s="73" t="s">
        <v>1012</v>
      </c>
      <c r="B626" s="73" t="s">
        <v>1029</v>
      </c>
      <c r="C626" s="74" t="s">
        <v>1014</v>
      </c>
      <c r="D626" s="73" t="s">
        <v>1009</v>
      </c>
      <c r="E626" s="75">
        <v>34</v>
      </c>
      <c r="F626" s="75">
        <f>ROUND(T626*$T$10,2)</f>
        <v>61.88</v>
      </c>
      <c r="G626" s="75">
        <f>ROUND(F626*(1+$U$1),2)</f>
        <v>78.95</v>
      </c>
      <c r="H626" s="76">
        <f>ROUND(E626*G626,2)</f>
        <v>2684.3</v>
      </c>
      <c r="I626" s="75"/>
      <c r="J626" s="75"/>
      <c r="K626" s="75">
        <f t="shared" si="213"/>
        <v>34</v>
      </c>
      <c r="L626" s="76">
        <f>ROUND(E626*F626,2)</f>
        <v>2103.92</v>
      </c>
      <c r="M626" s="76">
        <f t="shared" si="210"/>
        <v>0</v>
      </c>
      <c r="N626" s="76">
        <f t="shared" si="211"/>
        <v>0</v>
      </c>
      <c r="O626" s="76">
        <f t="shared" si="212"/>
        <v>2684.3</v>
      </c>
      <c r="P626" s="76"/>
      <c r="Q626" s="51"/>
      <c r="T626" s="53">
        <v>61.88</v>
      </c>
    </row>
    <row r="627" spans="1:20" s="56" customFormat="1" ht="12" x14ac:dyDescent="0.2">
      <c r="A627" s="72"/>
      <c r="B627" s="70" t="s">
        <v>1030</v>
      </c>
      <c r="C627" s="71" t="s">
        <v>1031</v>
      </c>
      <c r="D627" s="72"/>
      <c r="E627" s="72"/>
      <c r="F627" s="75"/>
      <c r="G627" s="72"/>
      <c r="H627" s="72"/>
      <c r="I627" s="72"/>
      <c r="J627" s="72"/>
      <c r="K627" s="75">
        <f t="shared" si="213"/>
        <v>0</v>
      </c>
      <c r="L627" s="72"/>
      <c r="M627" s="76">
        <f t="shared" si="210"/>
        <v>0</v>
      </c>
      <c r="N627" s="76">
        <f t="shared" si="211"/>
        <v>0</v>
      </c>
      <c r="O627" s="76">
        <f t="shared" si="212"/>
        <v>0</v>
      </c>
      <c r="P627" s="72"/>
      <c r="Q627" s="52"/>
      <c r="T627" s="52"/>
    </row>
    <row r="628" spans="1:20" s="56" customFormat="1" ht="12" x14ac:dyDescent="0.2">
      <c r="A628" s="73" t="s">
        <v>1012</v>
      </c>
      <c r="B628" s="73" t="s">
        <v>1032</v>
      </c>
      <c r="C628" s="74" t="s">
        <v>1014</v>
      </c>
      <c r="D628" s="73" t="s">
        <v>1009</v>
      </c>
      <c r="E628" s="75">
        <v>43</v>
      </c>
      <c r="F628" s="75">
        <f>ROUND(T628*$T$10,2)</f>
        <v>61.88</v>
      </c>
      <c r="G628" s="75">
        <f>ROUND(F628*(1+$U$1),2)</f>
        <v>78.95</v>
      </c>
      <c r="H628" s="76">
        <f>ROUND(E628*G628,2)</f>
        <v>3394.85</v>
      </c>
      <c r="I628" s="75"/>
      <c r="J628" s="75"/>
      <c r="K628" s="75">
        <f t="shared" si="213"/>
        <v>43</v>
      </c>
      <c r="L628" s="76">
        <f>ROUND(E628*F628,2)</f>
        <v>2660.84</v>
      </c>
      <c r="M628" s="76">
        <f t="shared" si="210"/>
        <v>0</v>
      </c>
      <c r="N628" s="76">
        <f t="shared" si="211"/>
        <v>0</v>
      </c>
      <c r="O628" s="76">
        <f t="shared" si="212"/>
        <v>3394.85</v>
      </c>
      <c r="P628" s="76"/>
      <c r="Q628" s="51"/>
      <c r="T628" s="53">
        <v>61.88</v>
      </c>
    </row>
    <row r="629" spans="1:20" s="56" customFormat="1" ht="24" x14ac:dyDescent="0.2">
      <c r="A629" s="73" t="s">
        <v>1033</v>
      </c>
      <c r="B629" s="73" t="s">
        <v>1034</v>
      </c>
      <c r="C629" s="74" t="s">
        <v>1035</v>
      </c>
      <c r="D629" s="73" t="s">
        <v>1009</v>
      </c>
      <c r="E629" s="75">
        <v>2</v>
      </c>
      <c r="F629" s="75">
        <f>ROUND(T629*$T$10,2)</f>
        <v>25.37</v>
      </c>
      <c r="G629" s="75">
        <f>ROUND(F629*(1+$U$1),2)</f>
        <v>32.369999999999997</v>
      </c>
      <c r="H629" s="76">
        <f>ROUND(E629*G629,2)</f>
        <v>64.739999999999995</v>
      </c>
      <c r="I629" s="75"/>
      <c r="J629" s="75"/>
      <c r="K629" s="75">
        <f t="shared" si="213"/>
        <v>2</v>
      </c>
      <c r="L629" s="76">
        <f>ROUND(E629*F629,2)</f>
        <v>50.74</v>
      </c>
      <c r="M629" s="76">
        <f t="shared" si="210"/>
        <v>0</v>
      </c>
      <c r="N629" s="76">
        <f t="shared" si="211"/>
        <v>0</v>
      </c>
      <c r="O629" s="76">
        <f t="shared" si="212"/>
        <v>64.739999999999995</v>
      </c>
      <c r="P629" s="76"/>
      <c r="Q629" s="51"/>
      <c r="T629" s="53">
        <v>25.37</v>
      </c>
    </row>
    <row r="630" spans="1:20" s="56" customFormat="1" ht="12" x14ac:dyDescent="0.2">
      <c r="A630" s="94">
        <v>72254</v>
      </c>
      <c r="B630" s="73" t="s">
        <v>1036</v>
      </c>
      <c r="C630" s="74" t="s">
        <v>1037</v>
      </c>
      <c r="D630" s="73" t="s">
        <v>81</v>
      </c>
      <c r="E630" s="75">
        <v>75</v>
      </c>
      <c r="F630" s="75">
        <f>ROUND(T630*$T$10,2)</f>
        <v>30.9</v>
      </c>
      <c r="G630" s="75">
        <f>ROUND(F630*(1+$U$1),2)</f>
        <v>39.43</v>
      </c>
      <c r="H630" s="76">
        <f>ROUND(E630*G630,2)</f>
        <v>2957.25</v>
      </c>
      <c r="I630" s="75"/>
      <c r="J630" s="75"/>
      <c r="K630" s="75">
        <f t="shared" si="213"/>
        <v>75</v>
      </c>
      <c r="L630" s="76">
        <f>ROUND(E630*F630,2)</f>
        <v>2317.5</v>
      </c>
      <c r="M630" s="76">
        <f t="shared" si="210"/>
        <v>0</v>
      </c>
      <c r="N630" s="76">
        <f t="shared" si="211"/>
        <v>0</v>
      </c>
      <c r="O630" s="76">
        <f t="shared" si="212"/>
        <v>2957.25</v>
      </c>
      <c r="P630" s="76"/>
      <c r="Q630" s="51"/>
      <c r="T630" s="53">
        <v>30.9</v>
      </c>
    </row>
    <row r="631" spans="1:20" s="56" customFormat="1" ht="12" x14ac:dyDescent="0.2">
      <c r="A631" s="72"/>
      <c r="B631" s="70" t="s">
        <v>1038</v>
      </c>
      <c r="C631" s="71" t="s">
        <v>1039</v>
      </c>
      <c r="D631" s="72"/>
      <c r="E631" s="72"/>
      <c r="F631" s="75"/>
      <c r="G631" s="72"/>
      <c r="H631" s="72"/>
      <c r="I631" s="72"/>
      <c r="J631" s="72"/>
      <c r="K631" s="75">
        <f t="shared" si="213"/>
        <v>0</v>
      </c>
      <c r="L631" s="72"/>
      <c r="M631" s="76">
        <f t="shared" si="210"/>
        <v>0</v>
      </c>
      <c r="N631" s="76">
        <f t="shared" si="211"/>
        <v>0</v>
      </c>
      <c r="O631" s="76">
        <f t="shared" si="212"/>
        <v>0</v>
      </c>
      <c r="P631" s="72"/>
      <c r="Q631" s="52"/>
      <c r="T631" s="52"/>
    </row>
    <row r="632" spans="1:20" s="56" customFormat="1" ht="24" x14ac:dyDescent="0.2">
      <c r="A632" s="73" t="s">
        <v>1040</v>
      </c>
      <c r="B632" s="73" t="s">
        <v>1041</v>
      </c>
      <c r="C632" s="74" t="s">
        <v>1042</v>
      </c>
      <c r="D632" s="73" t="s">
        <v>1009</v>
      </c>
      <c r="E632" s="75">
        <v>2</v>
      </c>
      <c r="F632" s="75">
        <f>ROUND(T632*$T$10,2)</f>
        <v>202.58</v>
      </c>
      <c r="G632" s="75">
        <f>ROUND(F632*(1+$U$1),2)</f>
        <v>258.47000000000003</v>
      </c>
      <c r="H632" s="76">
        <f>ROUND(E632*G632,2)</f>
        <v>516.94000000000005</v>
      </c>
      <c r="I632" s="75"/>
      <c r="J632" s="75"/>
      <c r="K632" s="75">
        <f t="shared" si="213"/>
        <v>2</v>
      </c>
      <c r="L632" s="76">
        <f>ROUND(E632*F632,2)</f>
        <v>405.16</v>
      </c>
      <c r="M632" s="76">
        <f t="shared" si="210"/>
        <v>0</v>
      </c>
      <c r="N632" s="76">
        <f t="shared" si="211"/>
        <v>0</v>
      </c>
      <c r="O632" s="76">
        <f t="shared" si="212"/>
        <v>516.94000000000005</v>
      </c>
      <c r="P632" s="76"/>
      <c r="Q632" s="51"/>
      <c r="T632" s="53">
        <v>202.58</v>
      </c>
    </row>
    <row r="633" spans="1:20" s="56" customFormat="1" ht="12" x14ac:dyDescent="0.2">
      <c r="A633" s="72"/>
      <c r="B633" s="71"/>
      <c r="C633" s="71"/>
      <c r="D633" s="71"/>
      <c r="E633" s="71"/>
      <c r="F633" s="75"/>
      <c r="G633" s="77" t="s">
        <v>1043</v>
      </c>
      <c r="H633" s="78">
        <f>SUM(H617:H632)</f>
        <v>22869.03</v>
      </c>
      <c r="I633" s="71"/>
      <c r="J633" s="71"/>
      <c r="K633" s="71"/>
      <c r="L633" s="78">
        <f>SUM(L617:L632)</f>
        <v>17925.8</v>
      </c>
      <c r="M633" s="78">
        <f>SUM(M617:M632)</f>
        <v>0</v>
      </c>
      <c r="N633" s="78">
        <f>SUM(N617:N632)</f>
        <v>0</v>
      </c>
      <c r="O633" s="78">
        <f>SUM(O617:O632)</f>
        <v>22869.03</v>
      </c>
      <c r="P633" s="78"/>
      <c r="Q633" s="60"/>
      <c r="T633" s="59"/>
    </row>
    <row r="634" spans="1:20" s="56" customFormat="1" ht="12" x14ac:dyDescent="0.2">
      <c r="A634" s="72"/>
      <c r="B634" s="71"/>
      <c r="C634" s="71"/>
      <c r="D634" s="71"/>
      <c r="E634" s="71"/>
      <c r="F634" s="75"/>
      <c r="G634" s="77" t="s">
        <v>1044</v>
      </c>
      <c r="H634" s="78">
        <f>SUM(H480,H484,H492,H497,H511,H527,H542,H556,H574,H583,H598,H606,H614,H633)</f>
        <v>143359.72000000003</v>
      </c>
      <c r="I634" s="71"/>
      <c r="J634" s="71"/>
      <c r="K634" s="71"/>
      <c r="L634" s="78">
        <f>SUM(L480,L484,L492,L497,L511,L527,L542,L556,L574,L583,L598,L606,L614,L633)</f>
        <v>112385.00000000001</v>
      </c>
      <c r="M634" s="78">
        <f>SUM(M480,M484,M492,M497,M511,M527,M542,M556,M574,M583,M598,M606,M614,M633)</f>
        <v>0</v>
      </c>
      <c r="N634" s="78">
        <f>SUM(N480,N484,N492,N497,N511,N527,N542,N556,N574,N583,N598,N606,N614,N633)</f>
        <v>0</v>
      </c>
      <c r="O634" s="78">
        <f>SUM(O480,O484,O492,O497,O511,O527,O542,O556,O574,O583,O598,O606,O614,O633)</f>
        <v>143359.72000000003</v>
      </c>
      <c r="P634" s="78"/>
      <c r="Q634" s="60"/>
      <c r="R634" s="58"/>
      <c r="T634" s="59"/>
    </row>
    <row r="635" spans="1:20" s="56" customFormat="1" ht="12" x14ac:dyDescent="0.2">
      <c r="A635" s="72"/>
      <c r="B635" s="70" t="s">
        <v>1045</v>
      </c>
      <c r="C635" s="71" t="s">
        <v>1046</v>
      </c>
      <c r="D635" s="72"/>
      <c r="E635" s="72"/>
      <c r="F635" s="75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52"/>
      <c r="T635" s="52"/>
    </row>
    <row r="636" spans="1:20" s="56" customFormat="1" ht="12" x14ac:dyDescent="0.2">
      <c r="A636" s="72"/>
      <c r="B636" s="70" t="s">
        <v>1047</v>
      </c>
      <c r="C636" s="71" t="s">
        <v>1048</v>
      </c>
      <c r="D636" s="72"/>
      <c r="E636" s="72"/>
      <c r="F636" s="75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52"/>
      <c r="T636" s="52"/>
    </row>
    <row r="637" spans="1:20" s="56" customFormat="1" ht="12" x14ac:dyDescent="0.2">
      <c r="A637" s="94">
        <v>98302</v>
      </c>
      <c r="B637" s="80">
        <v>44562</v>
      </c>
      <c r="C637" s="74" t="s">
        <v>1049</v>
      </c>
      <c r="D637" s="73" t="s">
        <v>102</v>
      </c>
      <c r="E637" s="75">
        <v>4</v>
      </c>
      <c r="F637" s="75">
        <f t="shared" ref="F637:F643" si="214">ROUND(T637*$T$10,2)</f>
        <v>683.89</v>
      </c>
      <c r="G637" s="75">
        <f t="shared" ref="G637:G645" si="215">ROUND(F637*(1+$U$1),2)</f>
        <v>872.58</v>
      </c>
      <c r="H637" s="76">
        <f t="shared" ref="H637:H643" si="216">ROUND(E637*G637,2)</f>
        <v>3490.32</v>
      </c>
      <c r="I637" s="75"/>
      <c r="J637" s="75"/>
      <c r="K637" s="75">
        <f t="shared" ref="K637:K645" si="217">E637-I637</f>
        <v>4</v>
      </c>
      <c r="L637" s="76">
        <f t="shared" ref="L637:L645" si="218">ROUND(E637*F637,2)</f>
        <v>2735.56</v>
      </c>
      <c r="M637" s="76">
        <f t="shared" ref="M637:M645" si="219">I637*G637</f>
        <v>0</v>
      </c>
      <c r="N637" s="76">
        <f t="shared" ref="N637:N645" si="220">J637*G637</f>
        <v>0</v>
      </c>
      <c r="O637" s="76">
        <f t="shared" ref="O637:O645" si="221">H637-N637</f>
        <v>3490.32</v>
      </c>
      <c r="P637" s="76"/>
      <c r="Q637" s="51"/>
      <c r="T637" s="53">
        <v>683.89</v>
      </c>
    </row>
    <row r="638" spans="1:20" s="56" customFormat="1" ht="12" x14ac:dyDescent="0.2">
      <c r="A638" s="73" t="s">
        <v>308</v>
      </c>
      <c r="B638" s="80">
        <v>44563</v>
      </c>
      <c r="C638" s="74" t="s">
        <v>1050</v>
      </c>
      <c r="D638" s="73" t="s">
        <v>102</v>
      </c>
      <c r="E638" s="75">
        <v>1</v>
      </c>
      <c r="F638" s="75">
        <f t="shared" si="214"/>
        <v>159.38</v>
      </c>
      <c r="G638" s="75">
        <f t="shared" si="215"/>
        <v>203.35</v>
      </c>
      <c r="H638" s="76">
        <f t="shared" si="216"/>
        <v>203.35</v>
      </c>
      <c r="I638" s="75"/>
      <c r="J638" s="75"/>
      <c r="K638" s="75">
        <f t="shared" si="217"/>
        <v>1</v>
      </c>
      <c r="L638" s="76">
        <f t="shared" si="218"/>
        <v>159.38</v>
      </c>
      <c r="M638" s="76">
        <f t="shared" si="219"/>
        <v>0</v>
      </c>
      <c r="N638" s="76">
        <f t="shared" si="220"/>
        <v>0</v>
      </c>
      <c r="O638" s="76">
        <f t="shared" si="221"/>
        <v>203.35</v>
      </c>
      <c r="P638" s="76"/>
      <c r="Q638" s="51"/>
      <c r="T638" s="53">
        <v>159.38</v>
      </c>
    </row>
    <row r="639" spans="1:20" s="56" customFormat="1" ht="12" x14ac:dyDescent="0.2">
      <c r="A639" s="73" t="s">
        <v>1051</v>
      </c>
      <c r="B639" s="80">
        <v>44564</v>
      </c>
      <c r="C639" s="74" t="s">
        <v>1052</v>
      </c>
      <c r="D639" s="73" t="s">
        <v>102</v>
      </c>
      <c r="E639" s="75">
        <v>6</v>
      </c>
      <c r="F639" s="75">
        <f t="shared" si="214"/>
        <v>9.15</v>
      </c>
      <c r="G639" s="75">
        <f t="shared" si="215"/>
        <v>11.67</v>
      </c>
      <c r="H639" s="76">
        <f t="shared" si="216"/>
        <v>70.02</v>
      </c>
      <c r="I639" s="75"/>
      <c r="J639" s="75"/>
      <c r="K639" s="75">
        <f t="shared" si="217"/>
        <v>6</v>
      </c>
      <c r="L639" s="76">
        <f t="shared" si="218"/>
        <v>54.9</v>
      </c>
      <c r="M639" s="76">
        <f t="shared" si="219"/>
        <v>0</v>
      </c>
      <c r="N639" s="76">
        <f t="shared" si="220"/>
        <v>0</v>
      </c>
      <c r="O639" s="76">
        <f t="shared" si="221"/>
        <v>70.02</v>
      </c>
      <c r="P639" s="76"/>
      <c r="Q639" s="51"/>
      <c r="T639" s="53">
        <v>9.15</v>
      </c>
    </row>
    <row r="640" spans="1:20" s="56" customFormat="1" ht="12" x14ac:dyDescent="0.2">
      <c r="A640" s="73" t="s">
        <v>1051</v>
      </c>
      <c r="B640" s="80">
        <v>44565</v>
      </c>
      <c r="C640" s="74" t="s">
        <v>1053</v>
      </c>
      <c r="D640" s="73" t="s">
        <v>102</v>
      </c>
      <c r="E640" s="75">
        <v>6</v>
      </c>
      <c r="F640" s="75">
        <f t="shared" si="214"/>
        <v>9.15</v>
      </c>
      <c r="G640" s="75">
        <f t="shared" si="215"/>
        <v>11.67</v>
      </c>
      <c r="H640" s="76">
        <f t="shared" si="216"/>
        <v>70.02</v>
      </c>
      <c r="I640" s="75"/>
      <c r="J640" s="75"/>
      <c r="K640" s="75">
        <f t="shared" si="217"/>
        <v>6</v>
      </c>
      <c r="L640" s="76">
        <f t="shared" si="218"/>
        <v>54.9</v>
      </c>
      <c r="M640" s="76">
        <f t="shared" si="219"/>
        <v>0</v>
      </c>
      <c r="N640" s="76">
        <f t="shared" si="220"/>
        <v>0</v>
      </c>
      <c r="O640" s="76">
        <f t="shared" si="221"/>
        <v>70.02</v>
      </c>
      <c r="P640" s="76"/>
      <c r="Q640" s="51"/>
      <c r="T640" s="53">
        <v>9.15</v>
      </c>
    </row>
    <row r="641" spans="1:20" s="56" customFormat="1" ht="12" x14ac:dyDescent="0.2">
      <c r="A641" s="73" t="s">
        <v>308</v>
      </c>
      <c r="B641" s="80">
        <v>44566</v>
      </c>
      <c r="C641" s="74" t="s">
        <v>1054</v>
      </c>
      <c r="D641" s="73" t="s">
        <v>102</v>
      </c>
      <c r="E641" s="75">
        <v>6</v>
      </c>
      <c r="F641" s="75">
        <f t="shared" si="214"/>
        <v>84.99</v>
      </c>
      <c r="G641" s="75">
        <f t="shared" si="215"/>
        <v>108.44</v>
      </c>
      <c r="H641" s="76">
        <f t="shared" si="216"/>
        <v>650.64</v>
      </c>
      <c r="I641" s="75"/>
      <c r="J641" s="75"/>
      <c r="K641" s="75">
        <f t="shared" si="217"/>
        <v>6</v>
      </c>
      <c r="L641" s="76">
        <f t="shared" si="218"/>
        <v>509.94</v>
      </c>
      <c r="M641" s="76">
        <f t="shared" si="219"/>
        <v>0</v>
      </c>
      <c r="N641" s="76">
        <f t="shared" si="220"/>
        <v>0</v>
      </c>
      <c r="O641" s="76">
        <f t="shared" si="221"/>
        <v>650.64</v>
      </c>
      <c r="P641" s="76"/>
      <c r="Q641" s="51"/>
      <c r="T641" s="53">
        <v>84.99</v>
      </c>
    </row>
    <row r="642" spans="1:20" s="56" customFormat="1" ht="12" x14ac:dyDescent="0.2">
      <c r="A642" s="73" t="s">
        <v>1051</v>
      </c>
      <c r="B642" s="80">
        <v>44567</v>
      </c>
      <c r="C642" s="74" t="s">
        <v>1055</v>
      </c>
      <c r="D642" s="73" t="s">
        <v>102</v>
      </c>
      <c r="E642" s="75">
        <v>2</v>
      </c>
      <c r="F642" s="75">
        <f t="shared" si="214"/>
        <v>9.15</v>
      </c>
      <c r="G642" s="75">
        <f t="shared" si="215"/>
        <v>11.67</v>
      </c>
      <c r="H642" s="76">
        <f t="shared" si="216"/>
        <v>23.34</v>
      </c>
      <c r="I642" s="75"/>
      <c r="J642" s="75"/>
      <c r="K642" s="75">
        <f t="shared" si="217"/>
        <v>2</v>
      </c>
      <c r="L642" s="76">
        <f t="shared" si="218"/>
        <v>18.3</v>
      </c>
      <c r="M642" s="76">
        <f t="shared" si="219"/>
        <v>0</v>
      </c>
      <c r="N642" s="76">
        <f t="shared" si="220"/>
        <v>0</v>
      </c>
      <c r="O642" s="76">
        <f t="shared" si="221"/>
        <v>23.34</v>
      </c>
      <c r="P642" s="76"/>
      <c r="Q642" s="51"/>
      <c r="T642" s="53">
        <v>9.15</v>
      </c>
    </row>
    <row r="643" spans="1:20" s="56" customFormat="1" ht="12" x14ac:dyDescent="0.2">
      <c r="A643" s="73" t="s">
        <v>1051</v>
      </c>
      <c r="B643" s="80">
        <v>44568</v>
      </c>
      <c r="C643" s="74" t="s">
        <v>1056</v>
      </c>
      <c r="D643" s="73" t="s">
        <v>102</v>
      </c>
      <c r="E643" s="75">
        <v>1</v>
      </c>
      <c r="F643" s="75">
        <f t="shared" si="214"/>
        <v>9.15</v>
      </c>
      <c r="G643" s="75">
        <f t="shared" si="215"/>
        <v>11.67</v>
      </c>
      <c r="H643" s="76">
        <f t="shared" si="216"/>
        <v>11.67</v>
      </c>
      <c r="I643" s="75"/>
      <c r="J643" s="75"/>
      <c r="K643" s="75">
        <f t="shared" si="217"/>
        <v>1</v>
      </c>
      <c r="L643" s="76">
        <f t="shared" si="218"/>
        <v>9.15</v>
      </c>
      <c r="M643" s="76">
        <f t="shared" si="219"/>
        <v>0</v>
      </c>
      <c r="N643" s="76">
        <f t="shared" si="220"/>
        <v>0</v>
      </c>
      <c r="O643" s="76">
        <f t="shared" si="221"/>
        <v>11.67</v>
      </c>
      <c r="P643" s="76"/>
      <c r="Q643" s="51"/>
      <c r="T643" s="53">
        <v>9.15</v>
      </c>
    </row>
    <row r="644" spans="1:20" s="56" customFormat="1" ht="24" x14ac:dyDescent="0.2">
      <c r="A644" s="73" t="s">
        <v>308</v>
      </c>
      <c r="B644" s="80">
        <v>44593</v>
      </c>
      <c r="C644" s="74" t="s">
        <v>1059</v>
      </c>
      <c r="D644" s="73" t="s">
        <v>81</v>
      </c>
      <c r="E644" s="75">
        <v>890</v>
      </c>
      <c r="F644" s="75">
        <f>ROUND(T644*$T$10,2)</f>
        <v>2.84</v>
      </c>
      <c r="G644" s="75">
        <f t="shared" si="215"/>
        <v>3.62</v>
      </c>
      <c r="H644" s="76">
        <f>ROUND(E644*G644,2)</f>
        <v>3221.8</v>
      </c>
      <c r="I644" s="75"/>
      <c r="J644" s="75"/>
      <c r="K644" s="75">
        <f t="shared" si="217"/>
        <v>890</v>
      </c>
      <c r="L644" s="76">
        <f t="shared" si="218"/>
        <v>2527.6</v>
      </c>
      <c r="M644" s="76">
        <f t="shared" si="219"/>
        <v>0</v>
      </c>
      <c r="N644" s="76">
        <f t="shared" si="220"/>
        <v>0</v>
      </c>
      <c r="O644" s="76">
        <f t="shared" si="221"/>
        <v>3221.8</v>
      </c>
      <c r="P644" s="76"/>
      <c r="Q644" s="51"/>
      <c r="T644" s="53">
        <v>2.84</v>
      </c>
    </row>
    <row r="645" spans="1:20" s="56" customFormat="1" ht="12" x14ac:dyDescent="0.2">
      <c r="A645" s="94">
        <v>98268</v>
      </c>
      <c r="B645" s="80">
        <v>44594</v>
      </c>
      <c r="C645" s="74" t="s">
        <v>1060</v>
      </c>
      <c r="D645" s="73" t="s">
        <v>81</v>
      </c>
      <c r="E645" s="75">
        <v>8</v>
      </c>
      <c r="F645" s="75">
        <f>ROUND(T645*$T$10,2)</f>
        <v>10.48</v>
      </c>
      <c r="G645" s="75">
        <f t="shared" si="215"/>
        <v>13.37</v>
      </c>
      <c r="H645" s="76">
        <f>ROUND(E645*G645,2)</f>
        <v>106.96</v>
      </c>
      <c r="I645" s="75"/>
      <c r="J645" s="75"/>
      <c r="K645" s="75">
        <f t="shared" si="217"/>
        <v>8</v>
      </c>
      <c r="L645" s="76">
        <f t="shared" si="218"/>
        <v>83.84</v>
      </c>
      <c r="M645" s="76">
        <f t="shared" si="219"/>
        <v>0</v>
      </c>
      <c r="N645" s="76">
        <f t="shared" si="220"/>
        <v>0</v>
      </c>
      <c r="O645" s="76">
        <f t="shared" si="221"/>
        <v>106.96</v>
      </c>
      <c r="P645" s="76"/>
      <c r="Q645" s="51"/>
      <c r="T645" s="53">
        <v>10.48</v>
      </c>
    </row>
    <row r="646" spans="1:20" s="56" customFormat="1" ht="30.75" customHeight="1" x14ac:dyDescent="0.2">
      <c r="A646" s="73"/>
      <c r="B646" s="87"/>
      <c r="C646" s="74"/>
      <c r="D646" s="73"/>
      <c r="E646" s="75"/>
      <c r="F646" s="75"/>
      <c r="G646" s="77" t="s">
        <v>1326</v>
      </c>
      <c r="H646" s="78">
        <f>SUM(H637:H645)</f>
        <v>7848.1200000000008</v>
      </c>
      <c r="I646" s="75"/>
      <c r="J646" s="75"/>
      <c r="K646" s="75"/>
      <c r="L646" s="76"/>
      <c r="M646" s="78">
        <f>SUM(M637:M645)</f>
        <v>0</v>
      </c>
      <c r="N646" s="78">
        <f>SUM(N637:N645)</f>
        <v>0</v>
      </c>
      <c r="O646" s="78">
        <f>SUM(O637:O645)</f>
        <v>7848.1200000000008</v>
      </c>
      <c r="P646" s="76"/>
      <c r="Q646" s="51"/>
      <c r="T646" s="53"/>
    </row>
    <row r="647" spans="1:20" s="56" customFormat="1" ht="12" x14ac:dyDescent="0.2">
      <c r="A647" s="72"/>
      <c r="B647" s="70" t="s">
        <v>1057</v>
      </c>
      <c r="C647" s="71" t="s">
        <v>1062</v>
      </c>
      <c r="D647" s="72"/>
      <c r="E647" s="72"/>
      <c r="F647" s="75"/>
      <c r="G647" s="72"/>
      <c r="H647" s="72"/>
      <c r="I647" s="72"/>
      <c r="J647" s="72"/>
      <c r="K647" s="75">
        <f>E647-I647</f>
        <v>0</v>
      </c>
      <c r="L647" s="72"/>
      <c r="M647" s="72"/>
      <c r="N647" s="72"/>
      <c r="O647" s="72"/>
      <c r="P647" s="72"/>
      <c r="Q647" s="52"/>
      <c r="T647" s="52"/>
    </row>
    <row r="648" spans="1:20" s="56" customFormat="1" ht="24" x14ac:dyDescent="0.2">
      <c r="A648" s="94">
        <v>39606</v>
      </c>
      <c r="B648" s="80" t="s">
        <v>1328</v>
      </c>
      <c r="C648" s="74" t="s">
        <v>1063</v>
      </c>
      <c r="D648" s="73" t="s">
        <v>102</v>
      </c>
      <c r="E648" s="75">
        <v>41</v>
      </c>
      <c r="F648" s="75">
        <f>ROUND(T648*$T$10,2)</f>
        <v>24.43</v>
      </c>
      <c r="G648" s="75">
        <f>ROUND(F648*(1+$U$1),2)</f>
        <v>31.17</v>
      </c>
      <c r="H648" s="76">
        <f>ROUND(E648*G648,2)</f>
        <v>1277.97</v>
      </c>
      <c r="I648" s="75"/>
      <c r="J648" s="75"/>
      <c r="K648" s="75">
        <f>E648-I648</f>
        <v>41</v>
      </c>
      <c r="L648" s="76">
        <f>ROUND(E648*F648,2)</f>
        <v>1001.63</v>
      </c>
      <c r="M648" s="76">
        <f>I648*G648</f>
        <v>0</v>
      </c>
      <c r="N648" s="76">
        <f>J648*G648</f>
        <v>0</v>
      </c>
      <c r="O648" s="76">
        <f>H648-N648</f>
        <v>1277.97</v>
      </c>
      <c r="P648" s="76"/>
      <c r="Q648" s="51"/>
      <c r="T648" s="53">
        <v>24.43</v>
      </c>
    </row>
    <row r="649" spans="1:20" s="56" customFormat="1" ht="24" x14ac:dyDescent="0.2">
      <c r="A649" s="94">
        <v>39604</v>
      </c>
      <c r="B649" s="80" t="s">
        <v>1329</v>
      </c>
      <c r="C649" s="74" t="s">
        <v>1064</v>
      </c>
      <c r="D649" s="73" t="s">
        <v>102</v>
      </c>
      <c r="E649" s="75">
        <v>48</v>
      </c>
      <c r="F649" s="75">
        <f>ROUND(T649*$T$10,2)</f>
        <v>24.43</v>
      </c>
      <c r="G649" s="75">
        <f>ROUND(F649*(1+$U$1),2)</f>
        <v>31.17</v>
      </c>
      <c r="H649" s="76">
        <f>ROUND(E649*G649,2)</f>
        <v>1496.16</v>
      </c>
      <c r="I649" s="75"/>
      <c r="J649" s="75"/>
      <c r="K649" s="75">
        <f>E649-I649</f>
        <v>48</v>
      </c>
      <c r="L649" s="76">
        <f>ROUND(E649*F649,2)</f>
        <v>1172.6400000000001</v>
      </c>
      <c r="M649" s="76">
        <f>I649*G649</f>
        <v>0</v>
      </c>
      <c r="N649" s="76">
        <f>J649*G649</f>
        <v>0</v>
      </c>
      <c r="O649" s="76">
        <f>H649-N649</f>
        <v>1496.16</v>
      </c>
      <c r="P649" s="76"/>
      <c r="Q649" s="51"/>
      <c r="T649" s="53">
        <v>24.43</v>
      </c>
    </row>
    <row r="650" spans="1:20" s="56" customFormat="1" ht="24" x14ac:dyDescent="0.2">
      <c r="A650" s="73" t="s">
        <v>308</v>
      </c>
      <c r="B650" s="80" t="s">
        <v>1330</v>
      </c>
      <c r="C650" s="74" t="s">
        <v>1065</v>
      </c>
      <c r="D650" s="73" t="s">
        <v>102</v>
      </c>
      <c r="E650" s="75">
        <v>35</v>
      </c>
      <c r="F650" s="75">
        <f>ROUND(T650*$T$10,2)</f>
        <v>24.43</v>
      </c>
      <c r="G650" s="75">
        <f>ROUND(F650*(1+$U$1),2)</f>
        <v>31.17</v>
      </c>
      <c r="H650" s="76">
        <f>ROUND(E650*G650,2)</f>
        <v>1090.95</v>
      </c>
      <c r="I650" s="75"/>
      <c r="J650" s="75"/>
      <c r="K650" s="75">
        <f>E650-I650</f>
        <v>35</v>
      </c>
      <c r="L650" s="76">
        <f>ROUND(E650*F650,2)</f>
        <v>855.05</v>
      </c>
      <c r="M650" s="76">
        <f>I650*G650</f>
        <v>0</v>
      </c>
      <c r="N650" s="76">
        <f>J650*G650</f>
        <v>0</v>
      </c>
      <c r="O650" s="76">
        <f>H650-N650</f>
        <v>1090.95</v>
      </c>
      <c r="P650" s="76"/>
      <c r="Q650" s="51"/>
      <c r="T650" s="53">
        <v>24.43</v>
      </c>
    </row>
    <row r="651" spans="1:20" s="56" customFormat="1" ht="12" x14ac:dyDescent="0.2">
      <c r="A651" s="73" t="s">
        <v>308</v>
      </c>
      <c r="B651" s="80" t="s">
        <v>1331</v>
      </c>
      <c r="C651" s="74" t="s">
        <v>1066</v>
      </c>
      <c r="D651" s="73" t="s">
        <v>102</v>
      </c>
      <c r="E651" s="75">
        <v>15</v>
      </c>
      <c r="F651" s="75">
        <f>ROUND(T651*$T$10,2)</f>
        <v>24.43</v>
      </c>
      <c r="G651" s="75">
        <f>ROUND(F651*(1+$U$1),2)</f>
        <v>31.17</v>
      </c>
      <c r="H651" s="76">
        <f>ROUND(E651*G651,2)</f>
        <v>467.55</v>
      </c>
      <c r="I651" s="75"/>
      <c r="J651" s="75"/>
      <c r="K651" s="75">
        <f>E651-I651</f>
        <v>15</v>
      </c>
      <c r="L651" s="76">
        <f>ROUND(E651*F651,2)</f>
        <v>366.45</v>
      </c>
      <c r="M651" s="76">
        <f>I651*G651</f>
        <v>0</v>
      </c>
      <c r="N651" s="76">
        <f>J651*G651</f>
        <v>0</v>
      </c>
      <c r="O651" s="76">
        <f>H651-N651</f>
        <v>467.55</v>
      </c>
      <c r="P651" s="76"/>
      <c r="Q651" s="51"/>
      <c r="T651" s="53">
        <v>24.43</v>
      </c>
    </row>
    <row r="652" spans="1:20" s="56" customFormat="1" ht="21.75" customHeight="1" x14ac:dyDescent="0.2">
      <c r="A652" s="73"/>
      <c r="B652" s="80"/>
      <c r="C652" s="74"/>
      <c r="D652" s="73"/>
      <c r="E652" s="75"/>
      <c r="F652" s="75"/>
      <c r="G652" s="77" t="s">
        <v>1327</v>
      </c>
      <c r="H652" s="78">
        <f>SUM(H648:H651)</f>
        <v>4332.63</v>
      </c>
      <c r="I652" s="75"/>
      <c r="J652" s="75"/>
      <c r="K652" s="75"/>
      <c r="L652" s="76"/>
      <c r="M652" s="78">
        <f>SUM(M648:M651)</f>
        <v>0</v>
      </c>
      <c r="N652" s="78">
        <f>SUM(N648:N651)</f>
        <v>0</v>
      </c>
      <c r="O652" s="78">
        <f>SUM(O648:O651)</f>
        <v>4332.63</v>
      </c>
      <c r="P652" s="76"/>
      <c r="Q652" s="51"/>
      <c r="T652" s="53"/>
    </row>
    <row r="653" spans="1:20" s="56" customFormat="1" ht="12" x14ac:dyDescent="0.2">
      <c r="A653" s="72"/>
      <c r="B653" s="70" t="s">
        <v>1061</v>
      </c>
      <c r="C653" s="71" t="s">
        <v>977</v>
      </c>
      <c r="D653" s="72"/>
      <c r="E653" s="72"/>
      <c r="F653" s="75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52"/>
      <c r="T653" s="52"/>
    </row>
    <row r="654" spans="1:20" s="56" customFormat="1" ht="12" x14ac:dyDescent="0.2">
      <c r="A654" s="73" t="s">
        <v>308</v>
      </c>
      <c r="B654" s="80" t="s">
        <v>1332</v>
      </c>
      <c r="C654" s="74" t="s">
        <v>1068</v>
      </c>
      <c r="D654" s="73" t="s">
        <v>102</v>
      </c>
      <c r="E654" s="75">
        <v>41</v>
      </c>
      <c r="F654" s="75">
        <f>ROUND(T654*$T$10,2)</f>
        <v>23.36</v>
      </c>
      <c r="G654" s="75">
        <f>ROUND(F654*(1+$U$1),2)</f>
        <v>29.81</v>
      </c>
      <c r="H654" s="76">
        <f>ROUND(E654*G654,2)</f>
        <v>1222.21</v>
      </c>
      <c r="I654" s="75"/>
      <c r="J654" s="75"/>
      <c r="K654" s="75">
        <f>E654-I654</f>
        <v>41</v>
      </c>
      <c r="L654" s="76">
        <f>ROUND(E654*F654,2)</f>
        <v>957.76</v>
      </c>
      <c r="M654" s="76">
        <f>I654*G654</f>
        <v>0</v>
      </c>
      <c r="N654" s="76">
        <f>J654*G654</f>
        <v>0</v>
      </c>
      <c r="O654" s="76">
        <f>H654-N654</f>
        <v>1222.21</v>
      </c>
      <c r="P654" s="76"/>
      <c r="Q654" s="51"/>
      <c r="T654" s="53">
        <v>23.36</v>
      </c>
    </row>
    <row r="655" spans="1:20" s="56" customFormat="1" ht="12" x14ac:dyDescent="0.2">
      <c r="A655" s="73" t="s">
        <v>308</v>
      </c>
      <c r="B655" s="80" t="s">
        <v>1333</v>
      </c>
      <c r="C655" s="74" t="s">
        <v>1069</v>
      </c>
      <c r="D655" s="73" t="s">
        <v>102</v>
      </c>
      <c r="E655" s="75">
        <v>2</v>
      </c>
      <c r="F655" s="75">
        <f>ROUND(T655*$T$10,2)</f>
        <v>3.6</v>
      </c>
      <c r="G655" s="75">
        <f>ROUND(F655*(1+$U$1),2)</f>
        <v>4.59</v>
      </c>
      <c r="H655" s="76">
        <f>ROUND(E655*G655,2)</f>
        <v>9.18</v>
      </c>
      <c r="I655" s="75"/>
      <c r="J655" s="75"/>
      <c r="K655" s="75">
        <f>E655-I655</f>
        <v>2</v>
      </c>
      <c r="L655" s="76">
        <f>ROUND(E655*F655,2)</f>
        <v>7.2</v>
      </c>
      <c r="M655" s="76">
        <f>I655*G655</f>
        <v>0</v>
      </c>
      <c r="N655" s="76">
        <f>J655*G655</f>
        <v>0</v>
      </c>
      <c r="O655" s="76">
        <f>H655-N655</f>
        <v>9.18</v>
      </c>
      <c r="P655" s="76"/>
      <c r="Q655" s="51"/>
      <c r="T655" s="53">
        <v>3.6</v>
      </c>
    </row>
    <row r="656" spans="1:20" s="56" customFormat="1" ht="30.75" customHeight="1" x14ac:dyDescent="0.2">
      <c r="A656" s="73"/>
      <c r="B656" s="80"/>
      <c r="C656" s="74"/>
      <c r="D656" s="73"/>
      <c r="E656" s="75"/>
      <c r="F656" s="75"/>
      <c r="G656" s="77" t="s">
        <v>1334</v>
      </c>
      <c r="H656" s="78">
        <f>SUM(H654:H655)</f>
        <v>1231.3900000000001</v>
      </c>
      <c r="I656" s="75"/>
      <c r="J656" s="75"/>
      <c r="K656" s="75"/>
      <c r="L656" s="76"/>
      <c r="M656" s="78">
        <f>SUM(M654:M655)</f>
        <v>0</v>
      </c>
      <c r="N656" s="78">
        <f>SUM(N654:N655)</f>
        <v>0</v>
      </c>
      <c r="O656" s="78">
        <f>SUM(O654:O655)</f>
        <v>1231.3900000000001</v>
      </c>
      <c r="P656" s="76"/>
      <c r="Q656" s="51"/>
      <c r="T656" s="53"/>
    </row>
    <row r="657" spans="1:20" s="56" customFormat="1" ht="12" x14ac:dyDescent="0.2">
      <c r="A657" s="72"/>
      <c r="B657" s="70" t="s">
        <v>1067</v>
      </c>
      <c r="C657" s="71" t="s">
        <v>1071</v>
      </c>
      <c r="D657" s="72"/>
      <c r="E657" s="72"/>
      <c r="F657" s="75"/>
      <c r="G657" s="75"/>
      <c r="H657" s="72"/>
      <c r="I657" s="72"/>
      <c r="J657" s="72"/>
      <c r="K657" s="72"/>
      <c r="L657" s="75"/>
      <c r="M657" s="72"/>
      <c r="N657" s="72"/>
      <c r="O657" s="72"/>
      <c r="P657" s="72"/>
      <c r="Q657" s="52"/>
      <c r="T657" s="52"/>
    </row>
    <row r="658" spans="1:20" s="56" customFormat="1" ht="24" x14ac:dyDescent="0.2">
      <c r="A658" s="94">
        <v>2559</v>
      </c>
      <c r="B658" s="80" t="s">
        <v>1335</v>
      </c>
      <c r="C658" s="74" t="s">
        <v>1072</v>
      </c>
      <c r="D658" s="73" t="s">
        <v>102</v>
      </c>
      <c r="E658" s="75">
        <v>2</v>
      </c>
      <c r="F658" s="75">
        <f t="shared" ref="F658:F665" si="222">ROUND(T658*$T$10,2)</f>
        <v>8.5</v>
      </c>
      <c r="G658" s="75">
        <f t="shared" ref="G658:G665" si="223">ROUND(F658*(1+$U$1),2)</f>
        <v>10.85</v>
      </c>
      <c r="H658" s="76">
        <f t="shared" ref="H658:H665" si="224">ROUND(E658*G658,2)</f>
        <v>21.7</v>
      </c>
      <c r="I658" s="75"/>
      <c r="J658" s="75"/>
      <c r="K658" s="75">
        <f t="shared" ref="K658:K665" si="225">E658-I658</f>
        <v>2</v>
      </c>
      <c r="L658" s="76">
        <f t="shared" ref="L658:L665" si="226">ROUND(E658*F658,2)</f>
        <v>17</v>
      </c>
      <c r="M658" s="76">
        <f t="shared" ref="M658:M665" si="227">I658*G658</f>
        <v>0</v>
      </c>
      <c r="N658" s="76">
        <f t="shared" ref="N658:N665" si="228">J658*G658</f>
        <v>0</v>
      </c>
      <c r="O658" s="76">
        <f t="shared" ref="O658:O665" si="229">H658-N658</f>
        <v>21.7</v>
      </c>
      <c r="P658" s="76"/>
      <c r="Q658" s="51"/>
      <c r="T658" s="53">
        <v>8.5</v>
      </c>
    </row>
    <row r="659" spans="1:20" s="56" customFormat="1" ht="24" x14ac:dyDescent="0.2">
      <c r="A659" s="73" t="s">
        <v>78</v>
      </c>
      <c r="B659" s="80" t="s">
        <v>1336</v>
      </c>
      <c r="C659" s="74" t="s">
        <v>1073</v>
      </c>
      <c r="D659" s="73" t="s">
        <v>102</v>
      </c>
      <c r="E659" s="75">
        <v>1</v>
      </c>
      <c r="F659" s="75">
        <f t="shared" si="222"/>
        <v>344.17</v>
      </c>
      <c r="G659" s="75">
        <f t="shared" si="223"/>
        <v>439.13</v>
      </c>
      <c r="H659" s="76">
        <f t="shared" si="224"/>
        <v>439.13</v>
      </c>
      <c r="I659" s="75"/>
      <c r="J659" s="75"/>
      <c r="K659" s="75">
        <f t="shared" si="225"/>
        <v>1</v>
      </c>
      <c r="L659" s="76">
        <f t="shared" si="226"/>
        <v>344.17</v>
      </c>
      <c r="M659" s="76">
        <f t="shared" si="227"/>
        <v>0</v>
      </c>
      <c r="N659" s="76">
        <f t="shared" si="228"/>
        <v>0</v>
      </c>
      <c r="O659" s="76">
        <f t="shared" si="229"/>
        <v>439.13</v>
      </c>
      <c r="P659" s="76"/>
      <c r="Q659" s="51"/>
      <c r="T659" s="53">
        <v>344.17</v>
      </c>
    </row>
    <row r="660" spans="1:20" s="56" customFormat="1" ht="48" x14ac:dyDescent="0.2">
      <c r="A660" s="73" t="s">
        <v>78</v>
      </c>
      <c r="B660" s="80" t="s">
        <v>1337</v>
      </c>
      <c r="C660" s="74" t="s">
        <v>1074</v>
      </c>
      <c r="D660" s="73" t="s">
        <v>102</v>
      </c>
      <c r="E660" s="75">
        <v>2</v>
      </c>
      <c r="F660" s="75">
        <f t="shared" si="222"/>
        <v>191.15</v>
      </c>
      <c r="G660" s="75">
        <f t="shared" si="223"/>
        <v>243.89</v>
      </c>
      <c r="H660" s="76">
        <f t="shared" si="224"/>
        <v>487.78</v>
      </c>
      <c r="I660" s="75"/>
      <c r="J660" s="75"/>
      <c r="K660" s="75">
        <f t="shared" si="225"/>
        <v>2</v>
      </c>
      <c r="L660" s="76">
        <f t="shared" si="226"/>
        <v>382.3</v>
      </c>
      <c r="M660" s="76">
        <f t="shared" si="227"/>
        <v>0</v>
      </c>
      <c r="N660" s="76">
        <f t="shared" si="228"/>
        <v>0</v>
      </c>
      <c r="O660" s="76">
        <f t="shared" si="229"/>
        <v>487.78</v>
      </c>
      <c r="P660" s="76"/>
      <c r="Q660" s="51"/>
      <c r="T660" s="53">
        <v>191.15</v>
      </c>
    </row>
    <row r="661" spans="1:20" s="56" customFormat="1" ht="24" x14ac:dyDescent="0.2">
      <c r="A661" s="73" t="s">
        <v>308</v>
      </c>
      <c r="B661" s="80" t="s">
        <v>1343</v>
      </c>
      <c r="C661" s="74" t="s">
        <v>1075</v>
      </c>
      <c r="D661" s="73" t="s">
        <v>102</v>
      </c>
      <c r="E661" s="75">
        <v>1</v>
      </c>
      <c r="F661" s="75">
        <f t="shared" si="222"/>
        <v>7.52</v>
      </c>
      <c r="G661" s="75">
        <f t="shared" si="223"/>
        <v>9.59</v>
      </c>
      <c r="H661" s="76">
        <f t="shared" si="224"/>
        <v>9.59</v>
      </c>
      <c r="I661" s="75"/>
      <c r="J661" s="75"/>
      <c r="K661" s="75">
        <f t="shared" si="225"/>
        <v>1</v>
      </c>
      <c r="L661" s="76">
        <f t="shared" si="226"/>
        <v>7.52</v>
      </c>
      <c r="M661" s="76">
        <f t="shared" si="227"/>
        <v>0</v>
      </c>
      <c r="N661" s="76">
        <f t="shared" si="228"/>
        <v>0</v>
      </c>
      <c r="O661" s="76">
        <f t="shared" si="229"/>
        <v>9.59</v>
      </c>
      <c r="P661" s="76"/>
      <c r="Q661" s="51"/>
      <c r="T661" s="53">
        <v>7.52</v>
      </c>
    </row>
    <row r="662" spans="1:20" s="56" customFormat="1" ht="12" x14ac:dyDescent="0.2">
      <c r="A662" s="73" t="s">
        <v>308</v>
      </c>
      <c r="B662" s="80" t="s">
        <v>1338</v>
      </c>
      <c r="C662" s="74" t="s">
        <v>1076</v>
      </c>
      <c r="D662" s="73" t="s">
        <v>102</v>
      </c>
      <c r="E662" s="75">
        <v>13</v>
      </c>
      <c r="F662" s="75">
        <f t="shared" si="222"/>
        <v>8.4</v>
      </c>
      <c r="G662" s="75">
        <f t="shared" si="223"/>
        <v>10.72</v>
      </c>
      <c r="H662" s="76">
        <f t="shared" si="224"/>
        <v>139.36000000000001</v>
      </c>
      <c r="I662" s="75"/>
      <c r="J662" s="75"/>
      <c r="K662" s="75">
        <f t="shared" si="225"/>
        <v>13</v>
      </c>
      <c r="L662" s="76">
        <f t="shared" si="226"/>
        <v>109.2</v>
      </c>
      <c r="M662" s="76">
        <f t="shared" si="227"/>
        <v>0</v>
      </c>
      <c r="N662" s="76">
        <f t="shared" si="228"/>
        <v>0</v>
      </c>
      <c r="O662" s="76">
        <f t="shared" si="229"/>
        <v>139.36000000000001</v>
      </c>
      <c r="P662" s="76"/>
      <c r="Q662" s="51"/>
      <c r="T662" s="53">
        <v>8.4</v>
      </c>
    </row>
    <row r="663" spans="1:20" s="56" customFormat="1" ht="24" x14ac:dyDescent="0.2">
      <c r="A663" s="73" t="s">
        <v>308</v>
      </c>
      <c r="B663" s="80" t="s">
        <v>1339</v>
      </c>
      <c r="C663" s="74" t="s">
        <v>1077</v>
      </c>
      <c r="D663" s="73" t="s">
        <v>102</v>
      </c>
      <c r="E663" s="75">
        <v>1</v>
      </c>
      <c r="F663" s="75">
        <f t="shared" si="222"/>
        <v>2.4900000000000002</v>
      </c>
      <c r="G663" s="75">
        <f t="shared" si="223"/>
        <v>3.18</v>
      </c>
      <c r="H663" s="76">
        <f t="shared" si="224"/>
        <v>3.18</v>
      </c>
      <c r="I663" s="75"/>
      <c r="J663" s="75"/>
      <c r="K663" s="75">
        <f t="shared" si="225"/>
        <v>1</v>
      </c>
      <c r="L663" s="76">
        <f t="shared" si="226"/>
        <v>2.4900000000000002</v>
      </c>
      <c r="M663" s="76">
        <f t="shared" si="227"/>
        <v>0</v>
      </c>
      <c r="N663" s="76">
        <f t="shared" si="228"/>
        <v>0</v>
      </c>
      <c r="O663" s="76">
        <f t="shared" si="229"/>
        <v>3.18</v>
      </c>
      <c r="P663" s="76"/>
      <c r="Q663" s="51"/>
      <c r="T663" s="53">
        <v>2.4900000000000002</v>
      </c>
    </row>
    <row r="664" spans="1:20" s="56" customFormat="1" ht="24" x14ac:dyDescent="0.2">
      <c r="A664" s="73" t="s">
        <v>308</v>
      </c>
      <c r="B664" s="80" t="s">
        <v>1340</v>
      </c>
      <c r="C664" s="74" t="s">
        <v>1078</v>
      </c>
      <c r="D664" s="73" t="s">
        <v>102</v>
      </c>
      <c r="E664" s="75">
        <v>1</v>
      </c>
      <c r="F664" s="75">
        <f t="shared" si="222"/>
        <v>2.46</v>
      </c>
      <c r="G664" s="75">
        <f t="shared" si="223"/>
        <v>3.14</v>
      </c>
      <c r="H664" s="76">
        <f t="shared" si="224"/>
        <v>3.14</v>
      </c>
      <c r="I664" s="75"/>
      <c r="J664" s="75"/>
      <c r="K664" s="75">
        <f t="shared" si="225"/>
        <v>1</v>
      </c>
      <c r="L664" s="76">
        <f t="shared" si="226"/>
        <v>2.46</v>
      </c>
      <c r="M664" s="76">
        <f t="shared" si="227"/>
        <v>0</v>
      </c>
      <c r="N664" s="76">
        <f t="shared" si="228"/>
        <v>0</v>
      </c>
      <c r="O664" s="76">
        <f t="shared" si="229"/>
        <v>3.14</v>
      </c>
      <c r="P664" s="76"/>
      <c r="Q664" s="51"/>
      <c r="T664" s="53">
        <v>2.46</v>
      </c>
    </row>
    <row r="665" spans="1:20" s="56" customFormat="1" ht="12" x14ac:dyDescent="0.2">
      <c r="A665" s="73" t="s">
        <v>308</v>
      </c>
      <c r="B665" s="80" t="s">
        <v>1341</v>
      </c>
      <c r="C665" s="74" t="s">
        <v>1079</v>
      </c>
      <c r="D665" s="73" t="s">
        <v>102</v>
      </c>
      <c r="E665" s="75">
        <v>14</v>
      </c>
      <c r="F665" s="75">
        <f t="shared" si="222"/>
        <v>3.26</v>
      </c>
      <c r="G665" s="75">
        <f t="shared" si="223"/>
        <v>4.16</v>
      </c>
      <c r="H665" s="76">
        <f t="shared" si="224"/>
        <v>58.24</v>
      </c>
      <c r="I665" s="75"/>
      <c r="J665" s="75"/>
      <c r="K665" s="75">
        <f t="shared" si="225"/>
        <v>14</v>
      </c>
      <c r="L665" s="76">
        <f t="shared" si="226"/>
        <v>45.64</v>
      </c>
      <c r="M665" s="76">
        <f t="shared" si="227"/>
        <v>0</v>
      </c>
      <c r="N665" s="76">
        <f t="shared" si="228"/>
        <v>0</v>
      </c>
      <c r="O665" s="76">
        <f t="shared" si="229"/>
        <v>58.24</v>
      </c>
      <c r="P665" s="76"/>
      <c r="Q665" s="51"/>
      <c r="T665" s="53">
        <v>3.26</v>
      </c>
    </row>
    <row r="666" spans="1:20" s="56" customFormat="1" ht="30.75" customHeight="1" x14ac:dyDescent="0.2">
      <c r="A666" s="73"/>
      <c r="B666" s="87"/>
      <c r="C666" s="74"/>
      <c r="D666" s="73"/>
      <c r="E666" s="75"/>
      <c r="F666" s="75"/>
      <c r="G666" s="77" t="s">
        <v>1342</v>
      </c>
      <c r="H666" s="78">
        <f>SUM(H658:H665)</f>
        <v>1162.1200000000001</v>
      </c>
      <c r="I666" s="75"/>
      <c r="J666" s="75"/>
      <c r="K666" s="75"/>
      <c r="L666" s="76"/>
      <c r="M666" s="78">
        <f>SUM(M658:M665)</f>
        <v>0</v>
      </c>
      <c r="N666" s="78">
        <f>SUM(N658:N665)</f>
        <v>0</v>
      </c>
      <c r="O666" s="78">
        <f>SUM(O658:O665)</f>
        <v>1162.1200000000001</v>
      </c>
      <c r="P666" s="76"/>
      <c r="Q666" s="51"/>
      <c r="T666" s="53"/>
    </row>
    <row r="667" spans="1:20" s="56" customFormat="1" ht="12" x14ac:dyDescent="0.2">
      <c r="A667" s="72"/>
      <c r="B667" s="70" t="s">
        <v>1070</v>
      </c>
      <c r="C667" s="71" t="s">
        <v>856</v>
      </c>
      <c r="D667" s="72"/>
      <c r="E667" s="72"/>
      <c r="F667" s="75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52"/>
      <c r="T667" s="52"/>
    </row>
    <row r="668" spans="1:20" s="56" customFormat="1" ht="12" x14ac:dyDescent="0.2">
      <c r="A668" s="72"/>
      <c r="B668" s="69"/>
      <c r="C668" s="74" t="s">
        <v>1081</v>
      </c>
      <c r="D668" s="72"/>
      <c r="E668" s="72"/>
      <c r="F668" s="75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52"/>
      <c r="T668" s="52"/>
    </row>
    <row r="669" spans="1:20" s="56" customFormat="1" ht="12" x14ac:dyDescent="0.2">
      <c r="A669" s="73" t="s">
        <v>308</v>
      </c>
      <c r="B669" s="80" t="s">
        <v>1344</v>
      </c>
      <c r="C669" s="74" t="s">
        <v>1082</v>
      </c>
      <c r="D669" s="73" t="s">
        <v>81</v>
      </c>
      <c r="E669" s="75">
        <v>1</v>
      </c>
      <c r="F669" s="75">
        <f>ROUND(T669*$T$10,2)</f>
        <v>9.9499999999999993</v>
      </c>
      <c r="G669" s="75">
        <f>ROUND(F669*(1+$U$1),2)</f>
        <v>12.7</v>
      </c>
      <c r="H669" s="76">
        <f>ROUND(E669*G669,2)</f>
        <v>12.7</v>
      </c>
      <c r="I669" s="75"/>
      <c r="J669" s="75"/>
      <c r="K669" s="75">
        <f>E669-I669</f>
        <v>1</v>
      </c>
      <c r="L669" s="76">
        <f>ROUND(E669*F669,2)</f>
        <v>9.9499999999999993</v>
      </c>
      <c r="M669" s="76">
        <f>I669*G669</f>
        <v>0</v>
      </c>
      <c r="N669" s="76">
        <f>J669*G669</f>
        <v>0</v>
      </c>
      <c r="O669" s="76">
        <f>H669-N669</f>
        <v>12.7</v>
      </c>
      <c r="P669" s="76"/>
      <c r="Q669" s="51"/>
      <c r="T669" s="53">
        <v>9.9499999999999993</v>
      </c>
    </row>
    <row r="670" spans="1:20" s="56" customFormat="1" ht="12" x14ac:dyDescent="0.2">
      <c r="A670" s="73" t="s">
        <v>308</v>
      </c>
      <c r="B670" s="80" t="s">
        <v>1345</v>
      </c>
      <c r="C670" s="74" t="s">
        <v>1083</v>
      </c>
      <c r="D670" s="73" t="s">
        <v>81</v>
      </c>
      <c r="E670" s="75">
        <v>70</v>
      </c>
      <c r="F670" s="75">
        <f>ROUND(T670*$T$10,2)</f>
        <v>5.24</v>
      </c>
      <c r="G670" s="75">
        <f>ROUND(F670*(1+$U$1),2)</f>
        <v>6.69</v>
      </c>
      <c r="H670" s="76">
        <f>ROUND(E670*G670,2)</f>
        <v>468.3</v>
      </c>
      <c r="I670" s="75"/>
      <c r="J670" s="75"/>
      <c r="K670" s="75">
        <f>E670-I670</f>
        <v>70</v>
      </c>
      <c r="L670" s="76">
        <f>ROUND(E670*F670,2)</f>
        <v>366.8</v>
      </c>
      <c r="M670" s="76">
        <f>I670*G670</f>
        <v>0</v>
      </c>
      <c r="N670" s="76">
        <f>J670*G670</f>
        <v>0</v>
      </c>
      <c r="O670" s="76">
        <f>H670-N670</f>
        <v>468.3</v>
      </c>
      <c r="P670" s="76"/>
      <c r="Q670" s="51"/>
      <c r="T670" s="53">
        <v>5.24</v>
      </c>
    </row>
    <row r="671" spans="1:20" s="56" customFormat="1" ht="12" x14ac:dyDescent="0.2">
      <c r="A671" s="72"/>
      <c r="B671" s="69"/>
      <c r="C671" s="74" t="s">
        <v>1084</v>
      </c>
      <c r="D671" s="72"/>
      <c r="E671" s="72"/>
      <c r="F671" s="75"/>
      <c r="G671" s="75"/>
      <c r="H671" s="72"/>
      <c r="I671" s="72"/>
      <c r="J671" s="72"/>
      <c r="K671" s="72"/>
      <c r="L671" s="75"/>
      <c r="M671" s="72"/>
      <c r="N671" s="72"/>
      <c r="O671" s="72"/>
      <c r="P671" s="72"/>
      <c r="Q671" s="52"/>
      <c r="T671" s="52"/>
    </row>
    <row r="672" spans="1:20" s="56" customFormat="1" ht="12" x14ac:dyDescent="0.2">
      <c r="A672" s="73" t="s">
        <v>308</v>
      </c>
      <c r="B672" s="80" t="s">
        <v>1346</v>
      </c>
      <c r="C672" s="74" t="s">
        <v>1083</v>
      </c>
      <c r="D672" s="73" t="s">
        <v>81</v>
      </c>
      <c r="E672" s="75">
        <v>10</v>
      </c>
      <c r="F672" s="75">
        <f>ROUND(T672*$T$10,2)</f>
        <v>12.83</v>
      </c>
      <c r="G672" s="75">
        <f>ROUND(F672*(1+$U$1),2)</f>
        <v>16.37</v>
      </c>
      <c r="H672" s="76">
        <f>ROUND(E672*G672,2)</f>
        <v>163.69999999999999</v>
      </c>
      <c r="I672" s="75"/>
      <c r="J672" s="75"/>
      <c r="K672" s="75">
        <f>E672-I672</f>
        <v>10</v>
      </c>
      <c r="L672" s="76">
        <f>ROUND(E672*F672,2)</f>
        <v>128.30000000000001</v>
      </c>
      <c r="M672" s="76">
        <f t="shared" ref="M672:M683" si="230">I672*G672</f>
        <v>0</v>
      </c>
      <c r="N672" s="76">
        <f t="shared" ref="N672:N683" si="231">J672*G672</f>
        <v>0</v>
      </c>
      <c r="O672" s="76">
        <f t="shared" ref="O672:O683" si="232">H672-N672</f>
        <v>163.69999999999999</v>
      </c>
      <c r="P672" s="76"/>
      <c r="Q672" s="51"/>
      <c r="T672" s="53">
        <v>12.83</v>
      </c>
    </row>
    <row r="673" spans="1:20" s="56" customFormat="1" ht="24" x14ac:dyDescent="0.2">
      <c r="A673" s="72"/>
      <c r="B673" s="69"/>
      <c r="C673" s="74" t="s">
        <v>1085</v>
      </c>
      <c r="D673" s="72"/>
      <c r="E673" s="72"/>
      <c r="F673" s="75"/>
      <c r="G673" s="75"/>
      <c r="H673" s="72"/>
      <c r="I673" s="72"/>
      <c r="J673" s="72"/>
      <c r="K673" s="72"/>
      <c r="L673" s="75"/>
      <c r="M673" s="76">
        <f t="shared" si="230"/>
        <v>0</v>
      </c>
      <c r="N673" s="76">
        <f t="shared" si="231"/>
        <v>0</v>
      </c>
      <c r="O673" s="76">
        <f t="shared" si="232"/>
        <v>0</v>
      </c>
      <c r="P673" s="72"/>
      <c r="Q673" s="52"/>
      <c r="T673" s="52"/>
    </row>
    <row r="674" spans="1:20" s="56" customFormat="1" ht="12" x14ac:dyDescent="0.2">
      <c r="A674" s="73" t="s">
        <v>308</v>
      </c>
      <c r="B674" s="80" t="s">
        <v>1347</v>
      </c>
      <c r="C674" s="74" t="s">
        <v>1083</v>
      </c>
      <c r="D674" s="73" t="s">
        <v>81</v>
      </c>
      <c r="E674" s="75">
        <v>45</v>
      </c>
      <c r="F674" s="75">
        <f>ROUND(T674*$T$10,2)</f>
        <v>12.83</v>
      </c>
      <c r="G674" s="75">
        <f>ROUND(F674*(1+$U$1),2)</f>
        <v>16.37</v>
      </c>
      <c r="H674" s="76">
        <f>ROUND(E674*G674,2)</f>
        <v>736.65</v>
      </c>
      <c r="I674" s="75"/>
      <c r="J674" s="75"/>
      <c r="K674" s="75">
        <f>E674-I674</f>
        <v>45</v>
      </c>
      <c r="L674" s="76">
        <f>ROUND(E674*F674,2)</f>
        <v>577.35</v>
      </c>
      <c r="M674" s="76">
        <f t="shared" si="230"/>
        <v>0</v>
      </c>
      <c r="N674" s="76">
        <f t="shared" si="231"/>
        <v>0</v>
      </c>
      <c r="O674" s="76">
        <f t="shared" si="232"/>
        <v>736.65</v>
      </c>
      <c r="P674" s="76"/>
      <c r="Q674" s="51"/>
      <c r="T674" s="53">
        <v>12.83</v>
      </c>
    </row>
    <row r="675" spans="1:20" s="56" customFormat="1" ht="12" x14ac:dyDescent="0.2">
      <c r="A675" s="72"/>
      <c r="B675" s="69"/>
      <c r="C675" s="74" t="s">
        <v>1086</v>
      </c>
      <c r="D675" s="72"/>
      <c r="E675" s="72"/>
      <c r="F675" s="75"/>
      <c r="G675" s="75"/>
      <c r="H675" s="72"/>
      <c r="I675" s="72"/>
      <c r="J675" s="72"/>
      <c r="K675" s="72"/>
      <c r="L675" s="75"/>
      <c r="M675" s="76">
        <f t="shared" si="230"/>
        <v>0</v>
      </c>
      <c r="N675" s="76">
        <f t="shared" si="231"/>
        <v>0</v>
      </c>
      <c r="O675" s="76">
        <f t="shared" si="232"/>
        <v>0</v>
      </c>
      <c r="P675" s="72"/>
      <c r="Q675" s="52"/>
      <c r="T675" s="52"/>
    </row>
    <row r="676" spans="1:20" s="56" customFormat="1" ht="12" x14ac:dyDescent="0.2">
      <c r="A676" s="73" t="s">
        <v>308</v>
      </c>
      <c r="B676" s="80" t="s">
        <v>1348</v>
      </c>
      <c r="C676" s="74" t="s">
        <v>1087</v>
      </c>
      <c r="D676" s="73" t="s">
        <v>81</v>
      </c>
      <c r="E676" s="75">
        <v>10</v>
      </c>
      <c r="F676" s="75">
        <f>ROUND(T676*$T$10,2)</f>
        <v>6.65</v>
      </c>
      <c r="G676" s="75">
        <f>ROUND(F676*(1+$U$1),2)</f>
        <v>8.48</v>
      </c>
      <c r="H676" s="76">
        <f>ROUND(E676*G676,2)</f>
        <v>84.8</v>
      </c>
      <c r="I676" s="75"/>
      <c r="J676" s="75"/>
      <c r="K676" s="75">
        <f>E676-I676</f>
        <v>10</v>
      </c>
      <c r="L676" s="76">
        <f>ROUND(E676*F676,2)</f>
        <v>66.5</v>
      </c>
      <c r="M676" s="76">
        <f t="shared" si="230"/>
        <v>0</v>
      </c>
      <c r="N676" s="76">
        <f t="shared" si="231"/>
        <v>0</v>
      </c>
      <c r="O676" s="76">
        <f t="shared" si="232"/>
        <v>84.8</v>
      </c>
      <c r="P676" s="76"/>
      <c r="Q676" s="51"/>
      <c r="T676" s="53">
        <v>6.65</v>
      </c>
    </row>
    <row r="677" spans="1:20" s="56" customFormat="1" ht="24" x14ac:dyDescent="0.2">
      <c r="A677" s="72"/>
      <c r="B677" s="69"/>
      <c r="C677" s="74" t="s">
        <v>1088</v>
      </c>
      <c r="D677" s="72"/>
      <c r="E677" s="72"/>
      <c r="F677" s="75"/>
      <c r="G677" s="75"/>
      <c r="H677" s="72"/>
      <c r="I677" s="72"/>
      <c r="J677" s="72"/>
      <c r="K677" s="72"/>
      <c r="L677" s="75"/>
      <c r="M677" s="76">
        <f t="shared" si="230"/>
        <v>0</v>
      </c>
      <c r="N677" s="76">
        <f t="shared" si="231"/>
        <v>0</v>
      </c>
      <c r="O677" s="76">
        <f t="shared" si="232"/>
        <v>0</v>
      </c>
      <c r="P677" s="72"/>
      <c r="Q677" s="52"/>
      <c r="T677" s="52"/>
    </row>
    <row r="678" spans="1:20" s="56" customFormat="1" ht="12" x14ac:dyDescent="0.2">
      <c r="A678" s="73" t="s">
        <v>308</v>
      </c>
      <c r="B678" s="80" t="s">
        <v>1349</v>
      </c>
      <c r="C678" s="74" t="s">
        <v>1083</v>
      </c>
      <c r="D678" s="73" t="s">
        <v>102</v>
      </c>
      <c r="E678" s="75">
        <v>75</v>
      </c>
      <c r="F678" s="75">
        <f t="shared" ref="F678:F683" si="233">ROUND(T678*$T$10,2)</f>
        <v>0.7</v>
      </c>
      <c r="G678" s="75">
        <f t="shared" ref="G678:G683" si="234">ROUND(F678*(1+$U$1),2)</f>
        <v>0.89</v>
      </c>
      <c r="H678" s="76">
        <f t="shared" ref="H678:H683" si="235">ROUND(E678*G678,2)</f>
        <v>66.75</v>
      </c>
      <c r="I678" s="75"/>
      <c r="J678" s="75"/>
      <c r="K678" s="75">
        <f t="shared" ref="K678:K683" si="236">E678-I678</f>
        <v>75</v>
      </c>
      <c r="L678" s="76">
        <f t="shared" ref="L678:L683" si="237">ROUND(E678*F678,2)</f>
        <v>52.5</v>
      </c>
      <c r="M678" s="76">
        <f t="shared" si="230"/>
        <v>0</v>
      </c>
      <c r="N678" s="76">
        <f t="shared" si="231"/>
        <v>0</v>
      </c>
      <c r="O678" s="76">
        <f t="shared" si="232"/>
        <v>66.75</v>
      </c>
      <c r="P678" s="76"/>
      <c r="Q678" s="51"/>
      <c r="T678" s="53">
        <v>0.7</v>
      </c>
    </row>
    <row r="679" spans="1:20" s="56" customFormat="1" ht="12" x14ac:dyDescent="0.2">
      <c r="A679" s="73" t="s">
        <v>308</v>
      </c>
      <c r="B679" s="80" t="s">
        <v>1350</v>
      </c>
      <c r="C679" s="74" t="s">
        <v>1089</v>
      </c>
      <c r="D679" s="73" t="s">
        <v>102</v>
      </c>
      <c r="E679" s="75">
        <v>75</v>
      </c>
      <c r="F679" s="75">
        <f t="shared" si="233"/>
        <v>6.95</v>
      </c>
      <c r="G679" s="75">
        <f t="shared" si="234"/>
        <v>8.8699999999999992</v>
      </c>
      <c r="H679" s="76">
        <f t="shared" si="235"/>
        <v>665.25</v>
      </c>
      <c r="I679" s="75"/>
      <c r="J679" s="75"/>
      <c r="K679" s="75">
        <f t="shared" si="236"/>
        <v>75</v>
      </c>
      <c r="L679" s="76">
        <f t="shared" si="237"/>
        <v>521.25</v>
      </c>
      <c r="M679" s="76">
        <f t="shared" si="230"/>
        <v>0</v>
      </c>
      <c r="N679" s="76">
        <f t="shared" si="231"/>
        <v>0</v>
      </c>
      <c r="O679" s="76">
        <f t="shared" si="232"/>
        <v>665.25</v>
      </c>
      <c r="P679" s="76"/>
      <c r="Q679" s="51"/>
      <c r="T679" s="53">
        <v>6.95</v>
      </c>
    </row>
    <row r="680" spans="1:20" s="56" customFormat="1" ht="12" x14ac:dyDescent="0.2">
      <c r="A680" s="94">
        <v>4376</v>
      </c>
      <c r="B680" s="80" t="s">
        <v>1351</v>
      </c>
      <c r="C680" s="74" t="s">
        <v>1090</v>
      </c>
      <c r="D680" s="73" t="s">
        <v>102</v>
      </c>
      <c r="E680" s="75">
        <v>75</v>
      </c>
      <c r="F680" s="75">
        <f t="shared" si="233"/>
        <v>0.13</v>
      </c>
      <c r="G680" s="75">
        <f t="shared" si="234"/>
        <v>0.17</v>
      </c>
      <c r="H680" s="76">
        <f t="shared" si="235"/>
        <v>12.75</v>
      </c>
      <c r="I680" s="75"/>
      <c r="J680" s="75"/>
      <c r="K680" s="75">
        <f t="shared" si="236"/>
        <v>75</v>
      </c>
      <c r="L680" s="76">
        <f t="shared" si="237"/>
        <v>9.75</v>
      </c>
      <c r="M680" s="76">
        <f t="shared" si="230"/>
        <v>0</v>
      </c>
      <c r="N680" s="76">
        <f t="shared" si="231"/>
        <v>0</v>
      </c>
      <c r="O680" s="76">
        <f t="shared" si="232"/>
        <v>12.75</v>
      </c>
      <c r="P680" s="76"/>
      <c r="Q680" s="51"/>
      <c r="T680" s="53">
        <v>0.13</v>
      </c>
    </row>
    <row r="681" spans="1:20" s="56" customFormat="1" ht="24" x14ac:dyDescent="0.2">
      <c r="A681" s="73" t="s">
        <v>308</v>
      </c>
      <c r="B681" s="80" t="s">
        <v>1352</v>
      </c>
      <c r="C681" s="74" t="s">
        <v>1091</v>
      </c>
      <c r="D681" s="73" t="s">
        <v>102</v>
      </c>
      <c r="E681" s="75">
        <v>75</v>
      </c>
      <c r="F681" s="75">
        <f t="shared" si="233"/>
        <v>0.32</v>
      </c>
      <c r="G681" s="75">
        <f t="shared" si="234"/>
        <v>0.41</v>
      </c>
      <c r="H681" s="76">
        <f t="shared" si="235"/>
        <v>30.75</v>
      </c>
      <c r="I681" s="75"/>
      <c r="J681" s="75"/>
      <c r="K681" s="75">
        <f t="shared" si="236"/>
        <v>75</v>
      </c>
      <c r="L681" s="76">
        <f t="shared" si="237"/>
        <v>24</v>
      </c>
      <c r="M681" s="76">
        <f t="shared" si="230"/>
        <v>0</v>
      </c>
      <c r="N681" s="76">
        <f t="shared" si="231"/>
        <v>0</v>
      </c>
      <c r="O681" s="76">
        <f t="shared" si="232"/>
        <v>30.75</v>
      </c>
      <c r="P681" s="76"/>
      <c r="Q681" s="51"/>
      <c r="T681" s="53">
        <v>0.32</v>
      </c>
    </row>
    <row r="682" spans="1:20" s="56" customFormat="1" ht="12" x14ac:dyDescent="0.2">
      <c r="A682" s="73" t="s">
        <v>308</v>
      </c>
      <c r="B682" s="80" t="s">
        <v>1353</v>
      </c>
      <c r="C682" s="74" t="s">
        <v>1092</v>
      </c>
      <c r="D682" s="73" t="s">
        <v>102</v>
      </c>
      <c r="E682" s="75">
        <v>75</v>
      </c>
      <c r="F682" s="75">
        <f t="shared" si="233"/>
        <v>0.12</v>
      </c>
      <c r="G682" s="75">
        <f t="shared" si="234"/>
        <v>0.15</v>
      </c>
      <c r="H682" s="76">
        <f t="shared" si="235"/>
        <v>11.25</v>
      </c>
      <c r="I682" s="75"/>
      <c r="J682" s="75"/>
      <c r="K682" s="75">
        <f t="shared" si="236"/>
        <v>75</v>
      </c>
      <c r="L682" s="76">
        <f t="shared" si="237"/>
        <v>9</v>
      </c>
      <c r="M682" s="76">
        <f t="shared" si="230"/>
        <v>0</v>
      </c>
      <c r="N682" s="76">
        <f t="shared" si="231"/>
        <v>0</v>
      </c>
      <c r="O682" s="76">
        <f t="shared" si="232"/>
        <v>11.25</v>
      </c>
      <c r="P682" s="76"/>
      <c r="Q682" s="51"/>
      <c r="T682" s="53">
        <v>0.12</v>
      </c>
    </row>
    <row r="683" spans="1:20" s="56" customFormat="1" ht="12" x14ac:dyDescent="0.2">
      <c r="A683" s="73" t="s">
        <v>308</v>
      </c>
      <c r="B683" s="80" t="s">
        <v>1354</v>
      </c>
      <c r="C683" s="74" t="s">
        <v>1093</v>
      </c>
      <c r="D683" s="73" t="s">
        <v>102</v>
      </c>
      <c r="E683" s="75">
        <v>100</v>
      </c>
      <c r="F683" s="75">
        <f t="shared" si="233"/>
        <v>0.09</v>
      </c>
      <c r="G683" s="75">
        <f t="shared" si="234"/>
        <v>0.11</v>
      </c>
      <c r="H683" s="76">
        <f t="shared" si="235"/>
        <v>11</v>
      </c>
      <c r="I683" s="75"/>
      <c r="J683" s="75"/>
      <c r="K683" s="75">
        <f t="shared" si="236"/>
        <v>100</v>
      </c>
      <c r="L683" s="76">
        <f t="shared" si="237"/>
        <v>9</v>
      </c>
      <c r="M683" s="76">
        <f t="shared" si="230"/>
        <v>0</v>
      </c>
      <c r="N683" s="76">
        <f t="shared" si="231"/>
        <v>0</v>
      </c>
      <c r="O683" s="76">
        <f t="shared" si="232"/>
        <v>11</v>
      </c>
      <c r="P683" s="76"/>
      <c r="Q683" s="51"/>
      <c r="T683" s="53">
        <v>0.09</v>
      </c>
    </row>
    <row r="684" spans="1:20" s="56" customFormat="1" ht="30.75" customHeight="1" x14ac:dyDescent="0.2">
      <c r="A684" s="73"/>
      <c r="B684" s="87"/>
      <c r="C684" s="74"/>
      <c r="D684" s="73"/>
      <c r="E684" s="75"/>
      <c r="F684" s="75"/>
      <c r="G684" s="77" t="s">
        <v>1355</v>
      </c>
      <c r="H684" s="78">
        <f>SUM(H669:H683)</f>
        <v>2263.8999999999996</v>
      </c>
      <c r="I684" s="75"/>
      <c r="J684" s="75"/>
      <c r="K684" s="75"/>
      <c r="L684" s="76"/>
      <c r="M684" s="78">
        <f>SUM(M669:M683)</f>
        <v>0</v>
      </c>
      <c r="N684" s="78">
        <f>SUM(N669:N683)</f>
        <v>0</v>
      </c>
      <c r="O684" s="78">
        <f>SUM(O669:O683)</f>
        <v>2263.8999999999996</v>
      </c>
      <c r="P684" s="76"/>
      <c r="Q684" s="51"/>
      <c r="T684" s="53"/>
    </row>
    <row r="685" spans="1:20" s="56" customFormat="1" ht="12" x14ac:dyDescent="0.2">
      <c r="A685" s="72"/>
      <c r="B685" s="70" t="s">
        <v>1080</v>
      </c>
      <c r="C685" s="71" t="s">
        <v>1095</v>
      </c>
      <c r="D685" s="71"/>
      <c r="E685" s="71"/>
      <c r="F685" s="75"/>
      <c r="G685" s="71"/>
      <c r="H685" s="72"/>
      <c r="I685" s="71"/>
      <c r="J685" s="71"/>
      <c r="K685" s="75"/>
      <c r="L685" s="71"/>
      <c r="M685" s="76">
        <f t="shared" ref="M685:M700" si="238">I685*G685</f>
        <v>0</v>
      </c>
      <c r="N685" s="76">
        <f t="shared" ref="N685:N700" si="239">J685*G685</f>
        <v>0</v>
      </c>
      <c r="O685" s="76">
        <f t="shared" ref="O685:O700" si="240">H685-N685</f>
        <v>0</v>
      </c>
      <c r="P685" s="72"/>
      <c r="Q685" s="52"/>
      <c r="T685" s="59"/>
    </row>
    <row r="686" spans="1:20" s="56" customFormat="1" ht="24" x14ac:dyDescent="0.2">
      <c r="A686" s="73" t="s">
        <v>78</v>
      </c>
      <c r="B686" s="80" t="s">
        <v>1356</v>
      </c>
      <c r="C686" s="74" t="s">
        <v>1096</v>
      </c>
      <c r="D686" s="73" t="s">
        <v>102</v>
      </c>
      <c r="E686" s="75">
        <v>12</v>
      </c>
      <c r="F686" s="75">
        <f t="shared" ref="F686:F700" si="241">ROUND(T686*$T$10,2)</f>
        <v>79.47</v>
      </c>
      <c r="G686" s="75">
        <f t="shared" ref="G686:G700" si="242">ROUND(F686*(1+$U$1),2)</f>
        <v>101.4</v>
      </c>
      <c r="H686" s="76">
        <f t="shared" ref="H686:H700" si="243">ROUND(E686*G686,2)</f>
        <v>1216.8</v>
      </c>
      <c r="I686" s="75"/>
      <c r="J686" s="75"/>
      <c r="K686" s="75">
        <f t="shared" ref="K686:K700" si="244">E686-I686</f>
        <v>12</v>
      </c>
      <c r="L686" s="76">
        <f t="shared" ref="L686:L700" si="245">ROUND(E686*F686,2)</f>
        <v>953.64</v>
      </c>
      <c r="M686" s="76">
        <f t="shared" si="238"/>
        <v>0</v>
      </c>
      <c r="N686" s="76">
        <f t="shared" si="239"/>
        <v>0</v>
      </c>
      <c r="O686" s="76">
        <f t="shared" si="240"/>
        <v>1216.8</v>
      </c>
      <c r="P686" s="76"/>
      <c r="Q686" s="51"/>
      <c r="T686" s="53">
        <v>79.47</v>
      </c>
    </row>
    <row r="687" spans="1:20" s="56" customFormat="1" ht="12" x14ac:dyDescent="0.2">
      <c r="A687" s="73" t="s">
        <v>308</v>
      </c>
      <c r="B687" s="80" t="s">
        <v>1357</v>
      </c>
      <c r="C687" s="74" t="s">
        <v>1097</v>
      </c>
      <c r="D687" s="73" t="s">
        <v>102</v>
      </c>
      <c r="E687" s="75">
        <v>6</v>
      </c>
      <c r="F687" s="75">
        <f t="shared" si="241"/>
        <v>20.45</v>
      </c>
      <c r="G687" s="75">
        <f t="shared" si="242"/>
        <v>26.09</v>
      </c>
      <c r="H687" s="76">
        <f t="shared" si="243"/>
        <v>156.54</v>
      </c>
      <c r="I687" s="75"/>
      <c r="J687" s="75"/>
      <c r="K687" s="75">
        <f t="shared" si="244"/>
        <v>6</v>
      </c>
      <c r="L687" s="76">
        <f t="shared" si="245"/>
        <v>122.7</v>
      </c>
      <c r="M687" s="76">
        <f t="shared" si="238"/>
        <v>0</v>
      </c>
      <c r="N687" s="76">
        <f t="shared" si="239"/>
        <v>0</v>
      </c>
      <c r="O687" s="76">
        <f t="shared" si="240"/>
        <v>156.54</v>
      </c>
      <c r="P687" s="76"/>
      <c r="Q687" s="51"/>
      <c r="T687" s="53">
        <v>20.45</v>
      </c>
    </row>
    <row r="688" spans="1:20" s="56" customFormat="1" ht="12" x14ac:dyDescent="0.2">
      <c r="A688" s="73" t="s">
        <v>308</v>
      </c>
      <c r="B688" s="80" t="s">
        <v>1358</v>
      </c>
      <c r="C688" s="74" t="s">
        <v>1098</v>
      </c>
      <c r="D688" s="73" t="s">
        <v>102</v>
      </c>
      <c r="E688" s="75">
        <v>1</v>
      </c>
      <c r="F688" s="75">
        <f t="shared" si="241"/>
        <v>33.450000000000003</v>
      </c>
      <c r="G688" s="75">
        <f t="shared" si="242"/>
        <v>42.68</v>
      </c>
      <c r="H688" s="76">
        <f t="shared" si="243"/>
        <v>42.68</v>
      </c>
      <c r="I688" s="75"/>
      <c r="J688" s="75"/>
      <c r="K688" s="75">
        <f t="shared" si="244"/>
        <v>1</v>
      </c>
      <c r="L688" s="76">
        <f t="shared" si="245"/>
        <v>33.450000000000003</v>
      </c>
      <c r="M688" s="76">
        <f t="shared" si="238"/>
        <v>0</v>
      </c>
      <c r="N688" s="76">
        <f t="shared" si="239"/>
        <v>0</v>
      </c>
      <c r="O688" s="76">
        <f t="shared" si="240"/>
        <v>42.68</v>
      </c>
      <c r="P688" s="76"/>
      <c r="Q688" s="51"/>
      <c r="T688" s="53">
        <v>33.450000000000003</v>
      </c>
    </row>
    <row r="689" spans="1:20" s="56" customFormat="1" ht="12" x14ac:dyDescent="0.2">
      <c r="A689" s="73" t="s">
        <v>308</v>
      </c>
      <c r="B689" s="80" t="s">
        <v>1359</v>
      </c>
      <c r="C689" s="74" t="s">
        <v>1099</v>
      </c>
      <c r="D689" s="73" t="s">
        <v>102</v>
      </c>
      <c r="E689" s="75">
        <v>2</v>
      </c>
      <c r="F689" s="75">
        <f t="shared" si="241"/>
        <v>23.95</v>
      </c>
      <c r="G689" s="75">
        <f t="shared" si="242"/>
        <v>30.56</v>
      </c>
      <c r="H689" s="76">
        <f t="shared" si="243"/>
        <v>61.12</v>
      </c>
      <c r="I689" s="75"/>
      <c r="J689" s="75"/>
      <c r="K689" s="75">
        <f t="shared" si="244"/>
        <v>2</v>
      </c>
      <c r="L689" s="76">
        <f t="shared" si="245"/>
        <v>47.9</v>
      </c>
      <c r="M689" s="76">
        <f t="shared" si="238"/>
        <v>0</v>
      </c>
      <c r="N689" s="76">
        <f t="shared" si="239"/>
        <v>0</v>
      </c>
      <c r="O689" s="76">
        <f t="shared" si="240"/>
        <v>61.12</v>
      </c>
      <c r="P689" s="76"/>
      <c r="Q689" s="51"/>
      <c r="T689" s="53">
        <v>23.95</v>
      </c>
    </row>
    <row r="690" spans="1:20" s="56" customFormat="1" ht="12" x14ac:dyDescent="0.2">
      <c r="A690" s="73" t="s">
        <v>308</v>
      </c>
      <c r="B690" s="80" t="s">
        <v>1360</v>
      </c>
      <c r="C690" s="74" t="s">
        <v>1100</v>
      </c>
      <c r="D690" s="73" t="s">
        <v>102</v>
      </c>
      <c r="E690" s="75">
        <v>15</v>
      </c>
      <c r="F690" s="75">
        <f t="shared" si="241"/>
        <v>8.93</v>
      </c>
      <c r="G690" s="75">
        <f t="shared" si="242"/>
        <v>11.39</v>
      </c>
      <c r="H690" s="76">
        <f t="shared" si="243"/>
        <v>170.85</v>
      </c>
      <c r="I690" s="75"/>
      <c r="J690" s="75"/>
      <c r="K690" s="75">
        <f t="shared" si="244"/>
        <v>15</v>
      </c>
      <c r="L690" s="76">
        <f t="shared" si="245"/>
        <v>133.94999999999999</v>
      </c>
      <c r="M690" s="76">
        <f t="shared" si="238"/>
        <v>0</v>
      </c>
      <c r="N690" s="76">
        <f t="shared" si="239"/>
        <v>0</v>
      </c>
      <c r="O690" s="76">
        <f t="shared" si="240"/>
        <v>170.85</v>
      </c>
      <c r="P690" s="76"/>
      <c r="Q690" s="51"/>
      <c r="T690" s="53">
        <v>8.93</v>
      </c>
    </row>
    <row r="691" spans="1:20" s="56" customFormat="1" ht="12" x14ac:dyDescent="0.2">
      <c r="A691" s="73" t="s">
        <v>308</v>
      </c>
      <c r="B691" s="80" t="s">
        <v>1361</v>
      </c>
      <c r="C691" s="74" t="s">
        <v>1101</v>
      </c>
      <c r="D691" s="73" t="s">
        <v>102</v>
      </c>
      <c r="E691" s="75">
        <v>4</v>
      </c>
      <c r="F691" s="75">
        <f t="shared" si="241"/>
        <v>8.1300000000000008</v>
      </c>
      <c r="G691" s="75">
        <f t="shared" si="242"/>
        <v>10.37</v>
      </c>
      <c r="H691" s="76">
        <f t="shared" si="243"/>
        <v>41.48</v>
      </c>
      <c r="I691" s="75"/>
      <c r="J691" s="75"/>
      <c r="K691" s="75">
        <f t="shared" si="244"/>
        <v>4</v>
      </c>
      <c r="L691" s="76">
        <f t="shared" si="245"/>
        <v>32.520000000000003</v>
      </c>
      <c r="M691" s="76">
        <f t="shared" si="238"/>
        <v>0</v>
      </c>
      <c r="N691" s="76">
        <f t="shared" si="239"/>
        <v>0</v>
      </c>
      <c r="O691" s="76">
        <f t="shared" si="240"/>
        <v>41.48</v>
      </c>
      <c r="P691" s="76"/>
      <c r="Q691" s="51"/>
      <c r="T691" s="53">
        <v>8.1300000000000008</v>
      </c>
    </row>
    <row r="692" spans="1:20" s="56" customFormat="1" ht="12" x14ac:dyDescent="0.2">
      <c r="A692" s="94">
        <v>89563</v>
      </c>
      <c r="B692" s="80" t="s">
        <v>1362</v>
      </c>
      <c r="C692" s="74" t="s">
        <v>1102</v>
      </c>
      <c r="D692" s="73" t="s">
        <v>102</v>
      </c>
      <c r="E692" s="75">
        <v>40</v>
      </c>
      <c r="F692" s="75">
        <f t="shared" si="241"/>
        <v>14.21</v>
      </c>
      <c r="G692" s="75">
        <f t="shared" si="242"/>
        <v>18.13</v>
      </c>
      <c r="H692" s="76">
        <f t="shared" si="243"/>
        <v>725.2</v>
      </c>
      <c r="I692" s="75"/>
      <c r="J692" s="75"/>
      <c r="K692" s="75">
        <f t="shared" si="244"/>
        <v>40</v>
      </c>
      <c r="L692" s="76">
        <f t="shared" si="245"/>
        <v>568.4</v>
      </c>
      <c r="M692" s="76">
        <f t="shared" si="238"/>
        <v>0</v>
      </c>
      <c r="N692" s="76">
        <f t="shared" si="239"/>
        <v>0</v>
      </c>
      <c r="O692" s="76">
        <f t="shared" si="240"/>
        <v>725.2</v>
      </c>
      <c r="P692" s="76"/>
      <c r="Q692" s="51"/>
      <c r="T692" s="53">
        <v>14.21</v>
      </c>
    </row>
    <row r="693" spans="1:20" s="56" customFormat="1" ht="12" x14ac:dyDescent="0.2">
      <c r="A693" s="73" t="s">
        <v>308</v>
      </c>
      <c r="B693" s="80" t="s">
        <v>1363</v>
      </c>
      <c r="C693" s="74" t="s">
        <v>1103</v>
      </c>
      <c r="D693" s="73" t="s">
        <v>102</v>
      </c>
      <c r="E693" s="75">
        <v>20</v>
      </c>
      <c r="F693" s="75">
        <f t="shared" si="241"/>
        <v>33.74</v>
      </c>
      <c r="G693" s="75">
        <f t="shared" si="242"/>
        <v>43.05</v>
      </c>
      <c r="H693" s="76">
        <f t="shared" si="243"/>
        <v>861</v>
      </c>
      <c r="I693" s="75"/>
      <c r="J693" s="75"/>
      <c r="K693" s="75">
        <f t="shared" si="244"/>
        <v>20</v>
      </c>
      <c r="L693" s="76">
        <f t="shared" si="245"/>
        <v>674.8</v>
      </c>
      <c r="M693" s="76">
        <f t="shared" si="238"/>
        <v>0</v>
      </c>
      <c r="N693" s="76">
        <f t="shared" si="239"/>
        <v>0</v>
      </c>
      <c r="O693" s="76">
        <f t="shared" si="240"/>
        <v>861</v>
      </c>
      <c r="P693" s="76"/>
      <c r="Q693" s="51"/>
      <c r="T693" s="53">
        <v>33.74</v>
      </c>
    </row>
    <row r="694" spans="1:20" s="56" customFormat="1" ht="12" x14ac:dyDescent="0.2">
      <c r="A694" s="73" t="s">
        <v>308</v>
      </c>
      <c r="B694" s="80" t="s">
        <v>1364</v>
      </c>
      <c r="C694" s="74" t="s">
        <v>1104</v>
      </c>
      <c r="D694" s="73" t="s">
        <v>102</v>
      </c>
      <c r="E694" s="75">
        <v>25</v>
      </c>
      <c r="F694" s="75">
        <f t="shared" si="241"/>
        <v>0.17</v>
      </c>
      <c r="G694" s="75">
        <f t="shared" si="242"/>
        <v>0.22</v>
      </c>
      <c r="H694" s="76">
        <f t="shared" si="243"/>
        <v>5.5</v>
      </c>
      <c r="I694" s="75"/>
      <c r="J694" s="75"/>
      <c r="K694" s="75">
        <f t="shared" si="244"/>
        <v>25</v>
      </c>
      <c r="L694" s="76">
        <f t="shared" si="245"/>
        <v>4.25</v>
      </c>
      <c r="M694" s="76">
        <f t="shared" si="238"/>
        <v>0</v>
      </c>
      <c r="N694" s="76">
        <f t="shared" si="239"/>
        <v>0</v>
      </c>
      <c r="O694" s="76">
        <f t="shared" si="240"/>
        <v>5.5</v>
      </c>
      <c r="P694" s="76"/>
      <c r="Q694" s="51"/>
      <c r="T694" s="53">
        <v>0.17</v>
      </c>
    </row>
    <row r="695" spans="1:20" s="56" customFormat="1" ht="12" x14ac:dyDescent="0.2">
      <c r="A695" s="73" t="s">
        <v>308</v>
      </c>
      <c r="B695" s="80" t="s">
        <v>1365</v>
      </c>
      <c r="C695" s="74" t="s">
        <v>1105</v>
      </c>
      <c r="D695" s="73" t="s">
        <v>102</v>
      </c>
      <c r="E695" s="75">
        <v>160</v>
      </c>
      <c r="F695" s="75">
        <f t="shared" si="241"/>
        <v>0.19</v>
      </c>
      <c r="G695" s="75">
        <f t="shared" si="242"/>
        <v>0.24</v>
      </c>
      <c r="H695" s="76">
        <f t="shared" si="243"/>
        <v>38.4</v>
      </c>
      <c r="I695" s="75"/>
      <c r="J695" s="75"/>
      <c r="K695" s="75">
        <f t="shared" si="244"/>
        <v>160</v>
      </c>
      <c r="L695" s="76">
        <f t="shared" si="245"/>
        <v>30.4</v>
      </c>
      <c r="M695" s="76">
        <f t="shared" si="238"/>
        <v>0</v>
      </c>
      <c r="N695" s="76">
        <f t="shared" si="239"/>
        <v>0</v>
      </c>
      <c r="O695" s="76">
        <f t="shared" si="240"/>
        <v>38.4</v>
      </c>
      <c r="P695" s="76"/>
      <c r="Q695" s="51"/>
      <c r="T695" s="53">
        <v>0.19</v>
      </c>
    </row>
    <row r="696" spans="1:20" s="56" customFormat="1" ht="12" x14ac:dyDescent="0.2">
      <c r="A696" s="73" t="s">
        <v>308</v>
      </c>
      <c r="B696" s="80" t="s">
        <v>1366</v>
      </c>
      <c r="C696" s="74" t="s">
        <v>1106</v>
      </c>
      <c r="D696" s="73" t="s">
        <v>102</v>
      </c>
      <c r="E696" s="75">
        <v>3</v>
      </c>
      <c r="F696" s="75">
        <f t="shared" si="241"/>
        <v>1.69</v>
      </c>
      <c r="G696" s="75">
        <f t="shared" si="242"/>
        <v>2.16</v>
      </c>
      <c r="H696" s="76">
        <f t="shared" si="243"/>
        <v>6.48</v>
      </c>
      <c r="I696" s="75"/>
      <c r="J696" s="75"/>
      <c r="K696" s="75">
        <f t="shared" si="244"/>
        <v>3</v>
      </c>
      <c r="L696" s="76">
        <f t="shared" si="245"/>
        <v>5.07</v>
      </c>
      <c r="M696" s="76">
        <f t="shared" si="238"/>
        <v>0</v>
      </c>
      <c r="N696" s="76">
        <f t="shared" si="239"/>
        <v>0</v>
      </c>
      <c r="O696" s="76">
        <f t="shared" si="240"/>
        <v>6.48</v>
      </c>
      <c r="P696" s="76"/>
      <c r="Q696" s="51"/>
      <c r="T696" s="53">
        <v>1.69</v>
      </c>
    </row>
    <row r="697" spans="1:20" s="56" customFormat="1" ht="12" x14ac:dyDescent="0.2">
      <c r="A697" s="73" t="s">
        <v>308</v>
      </c>
      <c r="B697" s="80" t="s">
        <v>1367</v>
      </c>
      <c r="C697" s="74" t="s">
        <v>1107</v>
      </c>
      <c r="D697" s="73" t="s">
        <v>102</v>
      </c>
      <c r="E697" s="75">
        <v>25</v>
      </c>
      <c r="F697" s="75">
        <f t="shared" si="241"/>
        <v>1.54</v>
      </c>
      <c r="G697" s="75">
        <f t="shared" si="242"/>
        <v>1.96</v>
      </c>
      <c r="H697" s="76">
        <f t="shared" si="243"/>
        <v>49</v>
      </c>
      <c r="I697" s="75"/>
      <c r="J697" s="75"/>
      <c r="K697" s="75">
        <f t="shared" si="244"/>
        <v>25</v>
      </c>
      <c r="L697" s="76">
        <f t="shared" si="245"/>
        <v>38.5</v>
      </c>
      <c r="M697" s="76">
        <f t="shared" si="238"/>
        <v>0</v>
      </c>
      <c r="N697" s="76">
        <f t="shared" si="239"/>
        <v>0</v>
      </c>
      <c r="O697" s="76">
        <f t="shared" si="240"/>
        <v>49</v>
      </c>
      <c r="P697" s="76"/>
      <c r="Q697" s="51"/>
      <c r="T697" s="53">
        <v>1.54</v>
      </c>
    </row>
    <row r="698" spans="1:20" s="56" customFormat="1" ht="24" x14ac:dyDescent="0.2">
      <c r="A698" s="73" t="s">
        <v>308</v>
      </c>
      <c r="B698" s="80" t="s">
        <v>1368</v>
      </c>
      <c r="C698" s="74" t="s">
        <v>1108</v>
      </c>
      <c r="D698" s="73" t="s">
        <v>102</v>
      </c>
      <c r="E698" s="75">
        <v>3</v>
      </c>
      <c r="F698" s="75">
        <f t="shared" si="241"/>
        <v>12.98</v>
      </c>
      <c r="G698" s="75">
        <f t="shared" si="242"/>
        <v>16.559999999999999</v>
      </c>
      <c r="H698" s="76">
        <f t="shared" si="243"/>
        <v>49.68</v>
      </c>
      <c r="I698" s="75"/>
      <c r="J698" s="75"/>
      <c r="K698" s="75">
        <f t="shared" si="244"/>
        <v>3</v>
      </c>
      <c r="L698" s="76">
        <f t="shared" si="245"/>
        <v>38.94</v>
      </c>
      <c r="M698" s="76">
        <f t="shared" si="238"/>
        <v>0</v>
      </c>
      <c r="N698" s="76">
        <f t="shared" si="239"/>
        <v>0</v>
      </c>
      <c r="O698" s="76">
        <f t="shared" si="240"/>
        <v>49.68</v>
      </c>
      <c r="P698" s="76"/>
      <c r="Q698" s="51"/>
      <c r="T698" s="53">
        <v>12.98</v>
      </c>
    </row>
    <row r="699" spans="1:20" s="56" customFormat="1" ht="12" x14ac:dyDescent="0.2">
      <c r="A699" s="73" t="s">
        <v>308</v>
      </c>
      <c r="B699" s="80" t="s">
        <v>1369</v>
      </c>
      <c r="C699" s="74" t="s">
        <v>1109</v>
      </c>
      <c r="D699" s="73" t="s">
        <v>102</v>
      </c>
      <c r="E699" s="75">
        <v>300</v>
      </c>
      <c r="F699" s="75">
        <f t="shared" si="241"/>
        <v>0.09</v>
      </c>
      <c r="G699" s="75">
        <f t="shared" si="242"/>
        <v>0.11</v>
      </c>
      <c r="H699" s="76">
        <f t="shared" si="243"/>
        <v>33</v>
      </c>
      <c r="I699" s="75"/>
      <c r="J699" s="75"/>
      <c r="K699" s="75">
        <f t="shared" si="244"/>
        <v>300</v>
      </c>
      <c r="L699" s="76">
        <f t="shared" si="245"/>
        <v>27</v>
      </c>
      <c r="M699" s="76">
        <f t="shared" si="238"/>
        <v>0</v>
      </c>
      <c r="N699" s="76">
        <f t="shared" si="239"/>
        <v>0</v>
      </c>
      <c r="O699" s="76">
        <f t="shared" si="240"/>
        <v>33</v>
      </c>
      <c r="P699" s="76"/>
      <c r="Q699" s="51"/>
      <c r="T699" s="53">
        <v>0.09</v>
      </c>
    </row>
    <row r="700" spans="1:20" s="56" customFormat="1" ht="12" x14ac:dyDescent="0.2">
      <c r="A700" s="73" t="s">
        <v>308</v>
      </c>
      <c r="B700" s="80" t="s">
        <v>1370</v>
      </c>
      <c r="C700" s="74" t="s">
        <v>1110</v>
      </c>
      <c r="D700" s="73" t="s">
        <v>102</v>
      </c>
      <c r="E700" s="75">
        <v>15</v>
      </c>
      <c r="F700" s="75">
        <f t="shared" si="241"/>
        <v>12.18</v>
      </c>
      <c r="G700" s="75">
        <f t="shared" si="242"/>
        <v>15.54</v>
      </c>
      <c r="H700" s="76">
        <f t="shared" si="243"/>
        <v>233.1</v>
      </c>
      <c r="I700" s="75"/>
      <c r="J700" s="75"/>
      <c r="K700" s="75">
        <f t="shared" si="244"/>
        <v>15</v>
      </c>
      <c r="L700" s="76">
        <f t="shared" si="245"/>
        <v>182.7</v>
      </c>
      <c r="M700" s="76">
        <f t="shared" si="238"/>
        <v>0</v>
      </c>
      <c r="N700" s="76">
        <f t="shared" si="239"/>
        <v>0</v>
      </c>
      <c r="O700" s="76">
        <f t="shared" si="240"/>
        <v>233.1</v>
      </c>
      <c r="P700" s="76"/>
      <c r="Q700" s="51"/>
      <c r="T700" s="53">
        <v>12.18</v>
      </c>
    </row>
    <row r="701" spans="1:20" s="56" customFormat="1" ht="30.75" customHeight="1" x14ac:dyDescent="0.2">
      <c r="A701" s="73"/>
      <c r="B701" s="87"/>
      <c r="C701" s="74"/>
      <c r="D701" s="73"/>
      <c r="E701" s="75"/>
      <c r="F701" s="75"/>
      <c r="G701" s="77" t="s">
        <v>1323</v>
      </c>
      <c r="H701" s="78">
        <f>SUM(H686:H700)</f>
        <v>3690.83</v>
      </c>
      <c r="I701" s="75"/>
      <c r="J701" s="75"/>
      <c r="K701" s="75"/>
      <c r="L701" s="76"/>
      <c r="M701" s="78">
        <f>SUM(M686:M700)</f>
        <v>0</v>
      </c>
      <c r="N701" s="78">
        <f>SUM(N686:N700)</f>
        <v>0</v>
      </c>
      <c r="O701" s="78">
        <f>SUM(O686:O700)</f>
        <v>3690.83</v>
      </c>
      <c r="P701" s="76"/>
      <c r="Q701" s="51"/>
      <c r="T701" s="53"/>
    </row>
    <row r="702" spans="1:20" s="56" customFormat="1" ht="12" x14ac:dyDescent="0.2">
      <c r="A702" s="72"/>
      <c r="B702" s="73" t="s">
        <v>1094</v>
      </c>
      <c r="C702" s="71" t="s">
        <v>1112</v>
      </c>
      <c r="D702" s="72"/>
      <c r="E702" s="72"/>
      <c r="F702" s="75"/>
      <c r="G702" s="72"/>
      <c r="H702" s="72"/>
      <c r="I702" s="72"/>
      <c r="J702" s="72"/>
      <c r="K702" s="75"/>
      <c r="L702" s="72"/>
      <c r="M702" s="76">
        <f t="shared" ref="M702:M709" si="246">I702*G702</f>
        <v>0</v>
      </c>
      <c r="N702" s="76">
        <f t="shared" ref="N702:N709" si="247">J702*G702</f>
        <v>0</v>
      </c>
      <c r="O702" s="76">
        <f t="shared" ref="O702:O709" si="248">H702-N702</f>
        <v>0</v>
      </c>
      <c r="P702" s="72"/>
      <c r="Q702" s="52"/>
      <c r="T702" s="52"/>
    </row>
    <row r="703" spans="1:20" s="56" customFormat="1" ht="12" x14ac:dyDescent="0.2">
      <c r="A703" s="73" t="s">
        <v>308</v>
      </c>
      <c r="B703" s="73" t="s">
        <v>1371</v>
      </c>
      <c r="C703" s="74" t="s">
        <v>1113</v>
      </c>
      <c r="D703" s="73" t="s">
        <v>102</v>
      </c>
      <c r="E703" s="75">
        <v>10</v>
      </c>
      <c r="F703" s="75">
        <f t="shared" ref="F703:F709" si="249">ROUND(T703*$T$10,2)</f>
        <v>26.9</v>
      </c>
      <c r="G703" s="75">
        <f t="shared" ref="G703:G709" si="250">ROUND(F703*(1+$U$1),2)</f>
        <v>34.32</v>
      </c>
      <c r="H703" s="76">
        <f t="shared" ref="H703:H709" si="251">ROUND(E703*G703,2)</f>
        <v>343.2</v>
      </c>
      <c r="I703" s="75"/>
      <c r="J703" s="75"/>
      <c r="K703" s="75">
        <f t="shared" ref="K703:K709" si="252">E703-I703</f>
        <v>10</v>
      </c>
      <c r="L703" s="76">
        <f t="shared" ref="L703:L709" si="253">ROUND(E703*F703,2)</f>
        <v>269</v>
      </c>
      <c r="M703" s="76">
        <f t="shared" si="246"/>
        <v>0</v>
      </c>
      <c r="N703" s="76">
        <f t="shared" si="247"/>
        <v>0</v>
      </c>
      <c r="O703" s="76">
        <f t="shared" si="248"/>
        <v>343.2</v>
      </c>
      <c r="P703" s="76"/>
      <c r="Q703" s="51"/>
      <c r="T703" s="53">
        <v>26.9</v>
      </c>
    </row>
    <row r="704" spans="1:20" s="56" customFormat="1" ht="12" x14ac:dyDescent="0.2">
      <c r="A704" s="73" t="s">
        <v>308</v>
      </c>
      <c r="B704" s="73" t="s">
        <v>1372</v>
      </c>
      <c r="C704" s="74" t="s">
        <v>1114</v>
      </c>
      <c r="D704" s="73" t="s">
        <v>102</v>
      </c>
      <c r="E704" s="75">
        <v>10</v>
      </c>
      <c r="F704" s="75">
        <f t="shared" si="249"/>
        <v>15.67</v>
      </c>
      <c r="G704" s="75">
        <f t="shared" si="250"/>
        <v>19.989999999999998</v>
      </c>
      <c r="H704" s="76">
        <f t="shared" si="251"/>
        <v>199.9</v>
      </c>
      <c r="I704" s="75"/>
      <c r="J704" s="75"/>
      <c r="K704" s="75">
        <f t="shared" si="252"/>
        <v>10</v>
      </c>
      <c r="L704" s="76">
        <f t="shared" si="253"/>
        <v>156.69999999999999</v>
      </c>
      <c r="M704" s="76">
        <f t="shared" si="246"/>
        <v>0</v>
      </c>
      <c r="N704" s="76">
        <f t="shared" si="247"/>
        <v>0</v>
      </c>
      <c r="O704" s="76">
        <f t="shared" si="248"/>
        <v>199.9</v>
      </c>
      <c r="P704" s="76"/>
      <c r="Q704" s="51"/>
      <c r="T704" s="53">
        <v>15.67</v>
      </c>
    </row>
    <row r="705" spans="1:20" s="56" customFormat="1" ht="12" x14ac:dyDescent="0.2">
      <c r="A705" s="73" t="s">
        <v>308</v>
      </c>
      <c r="B705" s="73" t="s">
        <v>1373</v>
      </c>
      <c r="C705" s="74" t="s">
        <v>1115</v>
      </c>
      <c r="D705" s="73" t="s">
        <v>102</v>
      </c>
      <c r="E705" s="75">
        <v>20</v>
      </c>
      <c r="F705" s="75">
        <f t="shared" si="249"/>
        <v>5.57</v>
      </c>
      <c r="G705" s="75">
        <f t="shared" si="250"/>
        <v>7.11</v>
      </c>
      <c r="H705" s="76">
        <f t="shared" si="251"/>
        <v>142.19999999999999</v>
      </c>
      <c r="I705" s="75"/>
      <c r="J705" s="75"/>
      <c r="K705" s="75">
        <f t="shared" si="252"/>
        <v>20</v>
      </c>
      <c r="L705" s="76">
        <f t="shared" si="253"/>
        <v>111.4</v>
      </c>
      <c r="M705" s="76">
        <f t="shared" si="246"/>
        <v>0</v>
      </c>
      <c r="N705" s="76">
        <f t="shared" si="247"/>
        <v>0</v>
      </c>
      <c r="O705" s="76">
        <f t="shared" si="248"/>
        <v>142.19999999999999</v>
      </c>
      <c r="P705" s="76"/>
      <c r="Q705" s="51"/>
      <c r="T705" s="53">
        <v>5.57</v>
      </c>
    </row>
    <row r="706" spans="1:20" s="56" customFormat="1" ht="12" x14ac:dyDescent="0.2">
      <c r="A706" s="73" t="s">
        <v>308</v>
      </c>
      <c r="B706" s="73" t="s">
        <v>1374</v>
      </c>
      <c r="C706" s="74" t="s">
        <v>1116</v>
      </c>
      <c r="D706" s="73" t="s">
        <v>102</v>
      </c>
      <c r="E706" s="75">
        <v>2</v>
      </c>
      <c r="F706" s="75">
        <f t="shared" si="249"/>
        <v>7.1</v>
      </c>
      <c r="G706" s="75">
        <f t="shared" si="250"/>
        <v>9.06</v>
      </c>
      <c r="H706" s="76">
        <f t="shared" si="251"/>
        <v>18.12</v>
      </c>
      <c r="I706" s="75"/>
      <c r="J706" s="75"/>
      <c r="K706" s="75">
        <f t="shared" si="252"/>
        <v>2</v>
      </c>
      <c r="L706" s="76">
        <f t="shared" si="253"/>
        <v>14.2</v>
      </c>
      <c r="M706" s="76">
        <f t="shared" si="246"/>
        <v>0</v>
      </c>
      <c r="N706" s="76">
        <f t="shared" si="247"/>
        <v>0</v>
      </c>
      <c r="O706" s="76">
        <f t="shared" si="248"/>
        <v>18.12</v>
      </c>
      <c r="P706" s="76"/>
      <c r="Q706" s="51"/>
      <c r="T706" s="53">
        <v>7.1</v>
      </c>
    </row>
    <row r="707" spans="1:20" s="56" customFormat="1" ht="12" x14ac:dyDescent="0.2">
      <c r="A707" s="73" t="s">
        <v>308</v>
      </c>
      <c r="B707" s="73" t="s">
        <v>1375</v>
      </c>
      <c r="C707" s="74" t="s">
        <v>1117</v>
      </c>
      <c r="D707" s="73" t="s">
        <v>102</v>
      </c>
      <c r="E707" s="75">
        <v>40</v>
      </c>
      <c r="F707" s="75">
        <f t="shared" si="249"/>
        <v>1.72</v>
      </c>
      <c r="G707" s="75">
        <f t="shared" si="250"/>
        <v>2.19</v>
      </c>
      <c r="H707" s="76">
        <f t="shared" si="251"/>
        <v>87.6</v>
      </c>
      <c r="I707" s="75"/>
      <c r="J707" s="75"/>
      <c r="K707" s="75">
        <f t="shared" si="252"/>
        <v>40</v>
      </c>
      <c r="L707" s="76">
        <f t="shared" si="253"/>
        <v>68.8</v>
      </c>
      <c r="M707" s="76">
        <f t="shared" si="246"/>
        <v>0</v>
      </c>
      <c r="N707" s="76">
        <f t="shared" si="247"/>
        <v>0</v>
      </c>
      <c r="O707" s="76">
        <f t="shared" si="248"/>
        <v>87.6</v>
      </c>
      <c r="P707" s="76"/>
      <c r="Q707" s="51"/>
      <c r="T707" s="53">
        <v>1.72</v>
      </c>
    </row>
    <row r="708" spans="1:20" s="56" customFormat="1" ht="12" x14ac:dyDescent="0.2">
      <c r="A708" s="73" t="s">
        <v>308</v>
      </c>
      <c r="B708" s="73" t="s">
        <v>1376</v>
      </c>
      <c r="C708" s="74" t="s">
        <v>1118</v>
      </c>
      <c r="D708" s="73" t="s">
        <v>102</v>
      </c>
      <c r="E708" s="75">
        <v>4</v>
      </c>
      <c r="F708" s="75">
        <f t="shared" si="249"/>
        <v>2.33</v>
      </c>
      <c r="G708" s="75">
        <f t="shared" si="250"/>
        <v>2.97</v>
      </c>
      <c r="H708" s="76">
        <f t="shared" si="251"/>
        <v>11.88</v>
      </c>
      <c r="I708" s="75"/>
      <c r="J708" s="75"/>
      <c r="K708" s="75">
        <f t="shared" si="252"/>
        <v>4</v>
      </c>
      <c r="L708" s="76">
        <f t="shared" si="253"/>
        <v>9.32</v>
      </c>
      <c r="M708" s="76">
        <f t="shared" si="246"/>
        <v>0</v>
      </c>
      <c r="N708" s="76">
        <f t="shared" si="247"/>
        <v>0</v>
      </c>
      <c r="O708" s="76">
        <f t="shared" si="248"/>
        <v>11.88</v>
      </c>
      <c r="P708" s="76"/>
      <c r="Q708" s="51"/>
      <c r="T708" s="53">
        <v>2.33</v>
      </c>
    </row>
    <row r="709" spans="1:20" s="56" customFormat="1" ht="12" x14ac:dyDescent="0.2">
      <c r="A709" s="73" t="s">
        <v>308</v>
      </c>
      <c r="B709" s="73" t="s">
        <v>1377</v>
      </c>
      <c r="C709" s="74" t="s">
        <v>1119</v>
      </c>
      <c r="D709" s="73" t="s">
        <v>102</v>
      </c>
      <c r="E709" s="75">
        <v>7</v>
      </c>
      <c r="F709" s="75">
        <f t="shared" si="249"/>
        <v>4.74</v>
      </c>
      <c r="G709" s="75">
        <f t="shared" si="250"/>
        <v>6.05</v>
      </c>
      <c r="H709" s="76">
        <f t="shared" si="251"/>
        <v>42.35</v>
      </c>
      <c r="I709" s="75"/>
      <c r="J709" s="75"/>
      <c r="K709" s="75">
        <f t="shared" si="252"/>
        <v>7</v>
      </c>
      <c r="L709" s="76">
        <f t="shared" si="253"/>
        <v>33.18</v>
      </c>
      <c r="M709" s="76">
        <f t="shared" si="246"/>
        <v>0</v>
      </c>
      <c r="N709" s="76">
        <f t="shared" si="247"/>
        <v>0</v>
      </c>
      <c r="O709" s="76">
        <f t="shared" si="248"/>
        <v>42.35</v>
      </c>
      <c r="P709" s="76"/>
      <c r="Q709" s="51"/>
      <c r="T709" s="53">
        <v>4.74</v>
      </c>
    </row>
    <row r="710" spans="1:20" s="56" customFormat="1" ht="24.75" customHeight="1" x14ac:dyDescent="0.2">
      <c r="A710" s="73"/>
      <c r="B710" s="80"/>
      <c r="C710" s="74"/>
      <c r="D710" s="73"/>
      <c r="E710" s="75"/>
      <c r="F710" s="75"/>
      <c r="G710" s="77" t="s">
        <v>1323</v>
      </c>
      <c r="H710" s="78">
        <f>SUM(H703:H709)</f>
        <v>845.25</v>
      </c>
      <c r="I710" s="75"/>
      <c r="J710" s="75"/>
      <c r="K710" s="75"/>
      <c r="L710" s="76"/>
      <c r="M710" s="78">
        <f>SUM(M703:M709)</f>
        <v>0</v>
      </c>
      <c r="N710" s="78">
        <f>SUM(N703:N709)</f>
        <v>0</v>
      </c>
      <c r="O710" s="78">
        <f>SUM(O703:O709)</f>
        <v>845.25</v>
      </c>
      <c r="P710" s="76"/>
      <c r="Q710" s="51"/>
      <c r="T710" s="53"/>
    </row>
    <row r="711" spans="1:20" s="56" customFormat="1" ht="12" x14ac:dyDescent="0.2">
      <c r="A711" s="72"/>
      <c r="B711" s="73" t="s">
        <v>1111</v>
      </c>
      <c r="C711" s="71" t="s">
        <v>1121</v>
      </c>
      <c r="D711" s="72"/>
      <c r="E711" s="72"/>
      <c r="F711" s="75"/>
      <c r="G711" s="72"/>
      <c r="H711" s="72"/>
      <c r="I711" s="72"/>
      <c r="J711" s="72"/>
      <c r="K711" s="75"/>
      <c r="L711" s="72"/>
      <c r="M711" s="76">
        <f>I711*G711</f>
        <v>0</v>
      </c>
      <c r="N711" s="76">
        <f>J711*G711</f>
        <v>0</v>
      </c>
      <c r="O711" s="76">
        <f>H711-N711</f>
        <v>0</v>
      </c>
      <c r="P711" s="72"/>
      <c r="Q711" s="52"/>
      <c r="T711" s="52"/>
    </row>
    <row r="712" spans="1:20" s="56" customFormat="1" ht="12" x14ac:dyDescent="0.2">
      <c r="A712" s="73" t="s">
        <v>308</v>
      </c>
      <c r="B712" s="80" t="s">
        <v>1325</v>
      </c>
      <c r="C712" s="74" t="s">
        <v>1122</v>
      </c>
      <c r="D712" s="73" t="s">
        <v>102</v>
      </c>
      <c r="E712" s="75">
        <v>41</v>
      </c>
      <c r="F712" s="75">
        <f>ROUND(T712*$T$10,2)</f>
        <v>11.01</v>
      </c>
      <c r="G712" s="75">
        <f>ROUND(F712*(1+$U$1),2)</f>
        <v>14.05</v>
      </c>
      <c r="H712" s="76">
        <f>ROUND(E712*G712,2)</f>
        <v>576.04999999999995</v>
      </c>
      <c r="I712" s="75"/>
      <c r="J712" s="75"/>
      <c r="K712" s="75">
        <f>E712-I712</f>
        <v>41</v>
      </c>
      <c r="L712" s="76">
        <f>ROUND(E712*F712,2)</f>
        <v>451.41</v>
      </c>
      <c r="M712" s="76">
        <f>I712*G712</f>
        <v>0</v>
      </c>
      <c r="N712" s="76">
        <f>J712*G712</f>
        <v>0</v>
      </c>
      <c r="O712" s="76">
        <f>H712-N712</f>
        <v>576.04999999999995</v>
      </c>
      <c r="P712" s="76"/>
      <c r="Q712" s="51"/>
      <c r="T712" s="53">
        <v>11.01</v>
      </c>
    </row>
    <row r="713" spans="1:20" s="56" customFormat="1" ht="21.75" customHeight="1" x14ac:dyDescent="0.2">
      <c r="A713" s="73"/>
      <c r="B713" s="80"/>
      <c r="C713" s="74"/>
      <c r="D713" s="73"/>
      <c r="E713" s="75"/>
      <c r="F713" s="75"/>
      <c r="G713" s="77" t="s">
        <v>1324</v>
      </c>
      <c r="H713" s="78">
        <f>SUM(H712)</f>
        <v>576.04999999999995</v>
      </c>
      <c r="I713" s="75"/>
      <c r="J713" s="75"/>
      <c r="K713" s="75"/>
      <c r="L713" s="76"/>
      <c r="M713" s="78">
        <f>SUM(M712)</f>
        <v>0</v>
      </c>
      <c r="N713" s="78">
        <f>SUM(N712)</f>
        <v>0</v>
      </c>
      <c r="O713" s="78">
        <f>SUM(O712)</f>
        <v>576.04999999999995</v>
      </c>
      <c r="P713" s="76"/>
      <c r="Q713" s="51"/>
      <c r="T713" s="53"/>
    </row>
    <row r="714" spans="1:20" s="56" customFormat="1" ht="12" x14ac:dyDescent="0.2">
      <c r="A714" s="72"/>
      <c r="B714" s="71"/>
      <c r="C714" s="71"/>
      <c r="D714" s="71"/>
      <c r="E714" s="71"/>
      <c r="F714" s="75"/>
      <c r="G714" s="77" t="s">
        <v>1123</v>
      </c>
      <c r="H714" s="78">
        <f>H713+H710+H701+H684+H666+H656+H652+H646</f>
        <v>21950.29</v>
      </c>
      <c r="I714" s="71"/>
      <c r="J714" s="71"/>
      <c r="K714" s="75"/>
      <c r="L714" s="78">
        <f>SUM(L686:L712,L637:L683)</f>
        <v>17207.709999999995</v>
      </c>
      <c r="M714" s="78">
        <f>M713+M710+M701+M684+M666+M656+M652+M646</f>
        <v>0</v>
      </c>
      <c r="N714" s="78">
        <f>N713+N710+N701+N684+N666+N656+N652+N646</f>
        <v>0</v>
      </c>
      <c r="O714" s="78">
        <f>O713+O710+O701+O684+O666+O656+O652+O646</f>
        <v>21950.29</v>
      </c>
      <c r="P714" s="78"/>
      <c r="Q714" s="78">
        <v>21950.29</v>
      </c>
      <c r="T714" s="59"/>
    </row>
    <row r="715" spans="1:20" s="56" customFormat="1" ht="24" x14ac:dyDescent="0.2">
      <c r="A715" s="72"/>
      <c r="B715" s="70" t="s">
        <v>1124</v>
      </c>
      <c r="C715" s="71" t="s">
        <v>1125</v>
      </c>
      <c r="D715" s="72"/>
      <c r="E715" s="72"/>
      <c r="F715" s="75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52"/>
      <c r="T715" s="52"/>
    </row>
    <row r="716" spans="1:20" s="56" customFormat="1" ht="12" x14ac:dyDescent="0.2">
      <c r="A716" s="72"/>
      <c r="B716" s="70" t="s">
        <v>1126</v>
      </c>
      <c r="C716" s="71" t="s">
        <v>684</v>
      </c>
      <c r="D716" s="72"/>
      <c r="E716" s="72"/>
      <c r="F716" s="75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52"/>
      <c r="T716" s="52"/>
    </row>
    <row r="717" spans="1:20" s="56" customFormat="1" ht="24" x14ac:dyDescent="0.2">
      <c r="A717" s="73" t="s">
        <v>308</v>
      </c>
      <c r="B717" s="80">
        <v>44927</v>
      </c>
      <c r="C717" s="74" t="s">
        <v>1127</v>
      </c>
      <c r="D717" s="73" t="s">
        <v>102</v>
      </c>
      <c r="E717" s="75">
        <v>1</v>
      </c>
      <c r="F717" s="75">
        <f>ROUND(T717*$T$10,2)</f>
        <v>419.11</v>
      </c>
      <c r="G717" s="75">
        <f>ROUND(F717*(1+$U$1),2)</f>
        <v>534.74</v>
      </c>
      <c r="H717" s="76">
        <f>ROUND(E717*G717,2)</f>
        <v>534.74</v>
      </c>
      <c r="I717" s="75"/>
      <c r="J717" s="75"/>
      <c r="K717" s="75">
        <f>E717-I717</f>
        <v>1</v>
      </c>
      <c r="L717" s="76">
        <f>ROUND(E717*F717,2)</f>
        <v>419.11</v>
      </c>
      <c r="M717" s="76">
        <f>I717*G717</f>
        <v>0</v>
      </c>
      <c r="N717" s="76">
        <f>J717*G717</f>
        <v>0</v>
      </c>
      <c r="O717" s="76">
        <f>H717-N717</f>
        <v>534.74</v>
      </c>
      <c r="P717" s="76"/>
      <c r="Q717" s="51"/>
      <c r="T717" s="53">
        <v>419.11</v>
      </c>
    </row>
    <row r="718" spans="1:20" s="56" customFormat="1" ht="24" x14ac:dyDescent="0.2">
      <c r="A718" s="73" t="s">
        <v>308</v>
      </c>
      <c r="B718" s="80">
        <v>44928</v>
      </c>
      <c r="C718" s="74" t="s">
        <v>1128</v>
      </c>
      <c r="D718" s="73" t="s">
        <v>102</v>
      </c>
      <c r="E718" s="75">
        <v>1</v>
      </c>
      <c r="F718" s="75">
        <f>ROUND(T718*$T$10,2)</f>
        <v>385</v>
      </c>
      <c r="G718" s="75">
        <f>ROUND(F718*(1+$U$1),2)</f>
        <v>491.22</v>
      </c>
      <c r="H718" s="76">
        <f>ROUND(E718*G718,2)</f>
        <v>491.22</v>
      </c>
      <c r="I718" s="75"/>
      <c r="J718" s="75"/>
      <c r="K718" s="75">
        <f>E718-I718</f>
        <v>1</v>
      </c>
      <c r="L718" s="76">
        <f>ROUND(E718*F718,2)</f>
        <v>385</v>
      </c>
      <c r="M718" s="76">
        <f>I718*G718</f>
        <v>0</v>
      </c>
      <c r="N718" s="76">
        <f>J718*G718</f>
        <v>0</v>
      </c>
      <c r="O718" s="76">
        <f>H718-N718</f>
        <v>491.22</v>
      </c>
      <c r="P718" s="76"/>
      <c r="Q718" s="51"/>
      <c r="T718" s="53">
        <v>385</v>
      </c>
    </row>
    <row r="719" spans="1:20" s="56" customFormat="1" ht="24" x14ac:dyDescent="0.2">
      <c r="A719" s="73" t="s">
        <v>308</v>
      </c>
      <c r="B719" s="80">
        <v>44929</v>
      </c>
      <c r="C719" s="74" t="s">
        <v>1129</v>
      </c>
      <c r="D719" s="73" t="s">
        <v>102</v>
      </c>
      <c r="E719" s="75">
        <v>1</v>
      </c>
      <c r="F719" s="75">
        <f>ROUND(T719*$T$10,2)</f>
        <v>250</v>
      </c>
      <c r="G719" s="75">
        <f>ROUND(F719*(1+$U$1),2)</f>
        <v>318.98</v>
      </c>
      <c r="H719" s="76">
        <f>ROUND(E719*G719,2)</f>
        <v>318.98</v>
      </c>
      <c r="I719" s="75"/>
      <c r="J719" s="75"/>
      <c r="K719" s="75">
        <f>E719-I719</f>
        <v>1</v>
      </c>
      <c r="L719" s="76">
        <f>ROUND(E719*F719,2)</f>
        <v>250</v>
      </c>
      <c r="M719" s="76">
        <f>I719*G719</f>
        <v>0</v>
      </c>
      <c r="N719" s="76">
        <f>J719*G719</f>
        <v>0</v>
      </c>
      <c r="O719" s="76">
        <f>H719-N719</f>
        <v>318.98</v>
      </c>
      <c r="P719" s="76"/>
      <c r="Q719" s="51"/>
      <c r="T719" s="53">
        <v>250</v>
      </c>
    </row>
    <row r="720" spans="1:20" s="56" customFormat="1" ht="12" x14ac:dyDescent="0.2">
      <c r="A720" s="72"/>
      <c r="B720" s="71"/>
      <c r="C720" s="71"/>
      <c r="D720" s="71"/>
      <c r="E720" s="71"/>
      <c r="F720" s="75"/>
      <c r="G720" s="77" t="s">
        <v>1130</v>
      </c>
      <c r="H720" s="78">
        <f>SUM(H717:H719)</f>
        <v>1344.94</v>
      </c>
      <c r="I720" s="71"/>
      <c r="J720" s="71"/>
      <c r="K720" s="71"/>
      <c r="L720" s="78">
        <f>SUM(L717:L719)</f>
        <v>1054.1100000000001</v>
      </c>
      <c r="M720" s="78">
        <f>SUM(M717:M719)</f>
        <v>0</v>
      </c>
      <c r="N720" s="78">
        <f>SUM(N717:N719)</f>
        <v>0</v>
      </c>
      <c r="O720" s="78">
        <f>SUM(O717:O719)</f>
        <v>1344.94</v>
      </c>
      <c r="P720" s="78"/>
      <c r="Q720" s="60"/>
      <c r="T720" s="59"/>
    </row>
    <row r="721" spans="1:20" s="56" customFormat="1" ht="12" x14ac:dyDescent="0.2">
      <c r="A721" s="72"/>
      <c r="B721" s="70" t="s">
        <v>1131</v>
      </c>
      <c r="C721" s="71" t="s">
        <v>1132</v>
      </c>
      <c r="D721" s="72"/>
      <c r="E721" s="72"/>
      <c r="F721" s="75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52"/>
      <c r="T721" s="52"/>
    </row>
    <row r="722" spans="1:20" s="56" customFormat="1" ht="12" x14ac:dyDescent="0.2">
      <c r="A722" s="72"/>
      <c r="B722" s="81">
        <v>44958</v>
      </c>
      <c r="C722" s="71" t="s">
        <v>1133</v>
      </c>
      <c r="D722" s="72"/>
      <c r="E722" s="72"/>
      <c r="F722" s="75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52"/>
      <c r="T722" s="52"/>
    </row>
    <row r="723" spans="1:20" s="56" customFormat="1" ht="25.5" x14ac:dyDescent="0.2">
      <c r="A723" s="73" t="s">
        <v>308</v>
      </c>
      <c r="B723" s="73" t="s">
        <v>1134</v>
      </c>
      <c r="C723" s="74" t="s">
        <v>1175</v>
      </c>
      <c r="D723" s="73" t="s">
        <v>35</v>
      </c>
      <c r="E723" s="75">
        <v>8</v>
      </c>
      <c r="F723" s="75">
        <f t="shared" ref="F723:F728" si="254">ROUND(T723*$T$10,2)</f>
        <v>15.25</v>
      </c>
      <c r="G723" s="75">
        <f t="shared" ref="G723:G728" si="255">ROUND(F723*(1+$U$1),2)</f>
        <v>19.46</v>
      </c>
      <c r="H723" s="76">
        <f t="shared" ref="H723:H728" si="256">ROUND(E723*G723,2)</f>
        <v>155.68</v>
      </c>
      <c r="I723" s="75"/>
      <c r="J723" s="75"/>
      <c r="K723" s="75">
        <f t="shared" ref="K723:K728" si="257">E723-I723</f>
        <v>8</v>
      </c>
      <c r="L723" s="76">
        <f t="shared" ref="L723:L728" si="258">ROUND(E723*F723,2)</f>
        <v>122</v>
      </c>
      <c r="M723" s="76">
        <f t="shared" ref="M723:M728" si="259">I723*G723</f>
        <v>0</v>
      </c>
      <c r="N723" s="76">
        <f t="shared" ref="N723:N728" si="260">J723*G723</f>
        <v>0</v>
      </c>
      <c r="O723" s="76">
        <f t="shared" ref="O723:O728" si="261">H723-N723</f>
        <v>155.68</v>
      </c>
      <c r="P723" s="76"/>
      <c r="Q723" s="51"/>
      <c r="T723" s="53">
        <v>15.25</v>
      </c>
    </row>
    <row r="724" spans="1:20" s="56" customFormat="1" ht="25.5" x14ac:dyDescent="0.2">
      <c r="A724" s="73" t="s">
        <v>308</v>
      </c>
      <c r="B724" s="73" t="s">
        <v>1135</v>
      </c>
      <c r="C724" s="74" t="s">
        <v>1176</v>
      </c>
      <c r="D724" s="73" t="s">
        <v>35</v>
      </c>
      <c r="E724" s="75">
        <v>16</v>
      </c>
      <c r="F724" s="75">
        <f t="shared" si="254"/>
        <v>21.01</v>
      </c>
      <c r="G724" s="75">
        <f t="shared" si="255"/>
        <v>26.81</v>
      </c>
      <c r="H724" s="76">
        <f t="shared" si="256"/>
        <v>428.96</v>
      </c>
      <c r="I724" s="75"/>
      <c r="J724" s="75"/>
      <c r="K724" s="75">
        <f t="shared" si="257"/>
        <v>16</v>
      </c>
      <c r="L724" s="76">
        <f t="shared" si="258"/>
        <v>336.16</v>
      </c>
      <c r="M724" s="76">
        <f t="shared" si="259"/>
        <v>0</v>
      </c>
      <c r="N724" s="76">
        <f t="shared" si="260"/>
        <v>0</v>
      </c>
      <c r="O724" s="76">
        <f t="shared" si="261"/>
        <v>428.96</v>
      </c>
      <c r="P724" s="76"/>
      <c r="Q724" s="51"/>
      <c r="T724" s="53">
        <v>21.01</v>
      </c>
    </row>
    <row r="725" spans="1:20" s="56" customFormat="1" ht="24" x14ac:dyDescent="0.2">
      <c r="A725" s="73" t="s">
        <v>308</v>
      </c>
      <c r="B725" s="73" t="s">
        <v>1136</v>
      </c>
      <c r="C725" s="74" t="s">
        <v>1137</v>
      </c>
      <c r="D725" s="73" t="s">
        <v>102</v>
      </c>
      <c r="E725" s="75">
        <v>1</v>
      </c>
      <c r="F725" s="75">
        <f t="shared" si="254"/>
        <v>64.55</v>
      </c>
      <c r="G725" s="75">
        <f t="shared" si="255"/>
        <v>82.36</v>
      </c>
      <c r="H725" s="76">
        <f t="shared" si="256"/>
        <v>82.36</v>
      </c>
      <c r="I725" s="75"/>
      <c r="J725" s="75"/>
      <c r="K725" s="75">
        <f t="shared" si="257"/>
        <v>1</v>
      </c>
      <c r="L725" s="76">
        <f t="shared" si="258"/>
        <v>64.55</v>
      </c>
      <c r="M725" s="76">
        <f t="shared" si="259"/>
        <v>0</v>
      </c>
      <c r="N725" s="76">
        <f t="shared" si="260"/>
        <v>0</v>
      </c>
      <c r="O725" s="76">
        <f t="shared" si="261"/>
        <v>82.36</v>
      </c>
      <c r="P725" s="76"/>
      <c r="Q725" s="51"/>
      <c r="T725" s="53">
        <v>64.55</v>
      </c>
    </row>
    <row r="726" spans="1:20" s="56" customFormat="1" ht="12" x14ac:dyDescent="0.2">
      <c r="A726" s="73" t="s">
        <v>308</v>
      </c>
      <c r="B726" s="73" t="s">
        <v>1138</v>
      </c>
      <c r="C726" s="74" t="s">
        <v>1139</v>
      </c>
      <c r="D726" s="73" t="s">
        <v>102</v>
      </c>
      <c r="E726" s="75">
        <v>2</v>
      </c>
      <c r="F726" s="75">
        <f t="shared" si="254"/>
        <v>46.92</v>
      </c>
      <c r="G726" s="75">
        <f t="shared" si="255"/>
        <v>59.87</v>
      </c>
      <c r="H726" s="76">
        <f t="shared" si="256"/>
        <v>119.74</v>
      </c>
      <c r="I726" s="75"/>
      <c r="J726" s="75"/>
      <c r="K726" s="75">
        <f t="shared" si="257"/>
        <v>2</v>
      </c>
      <c r="L726" s="76">
        <f t="shared" si="258"/>
        <v>93.84</v>
      </c>
      <c r="M726" s="76">
        <f t="shared" si="259"/>
        <v>0</v>
      </c>
      <c r="N726" s="76">
        <f t="shared" si="260"/>
        <v>0</v>
      </c>
      <c r="O726" s="76">
        <f t="shared" si="261"/>
        <v>119.74</v>
      </c>
      <c r="P726" s="76"/>
      <c r="Q726" s="51"/>
      <c r="T726" s="53">
        <v>46.92</v>
      </c>
    </row>
    <row r="727" spans="1:20" s="56" customFormat="1" ht="12" x14ac:dyDescent="0.2">
      <c r="A727" s="73" t="s">
        <v>308</v>
      </c>
      <c r="B727" s="73" t="s">
        <v>1140</v>
      </c>
      <c r="C727" s="74" t="s">
        <v>1141</v>
      </c>
      <c r="D727" s="73" t="s">
        <v>102</v>
      </c>
      <c r="E727" s="75">
        <v>2</v>
      </c>
      <c r="F727" s="75">
        <f t="shared" si="254"/>
        <v>63.34</v>
      </c>
      <c r="G727" s="75">
        <f t="shared" si="255"/>
        <v>80.819999999999993</v>
      </c>
      <c r="H727" s="76">
        <f t="shared" si="256"/>
        <v>161.63999999999999</v>
      </c>
      <c r="I727" s="75"/>
      <c r="J727" s="75"/>
      <c r="K727" s="75">
        <f t="shared" si="257"/>
        <v>2</v>
      </c>
      <c r="L727" s="76">
        <f t="shared" si="258"/>
        <v>126.68</v>
      </c>
      <c r="M727" s="76">
        <f t="shared" si="259"/>
        <v>0</v>
      </c>
      <c r="N727" s="76">
        <f t="shared" si="260"/>
        <v>0</v>
      </c>
      <c r="O727" s="76">
        <f t="shared" si="261"/>
        <v>161.63999999999999</v>
      </c>
      <c r="P727" s="76"/>
      <c r="Q727" s="51"/>
      <c r="T727" s="53">
        <v>63.34</v>
      </c>
    </row>
    <row r="728" spans="1:20" s="56" customFormat="1" ht="12" x14ac:dyDescent="0.2">
      <c r="A728" s="73" t="s">
        <v>308</v>
      </c>
      <c r="B728" s="73" t="s">
        <v>1142</v>
      </c>
      <c r="C728" s="74" t="s">
        <v>1143</v>
      </c>
      <c r="D728" s="73" t="s">
        <v>102</v>
      </c>
      <c r="E728" s="75">
        <v>1</v>
      </c>
      <c r="F728" s="75">
        <f t="shared" si="254"/>
        <v>112.15</v>
      </c>
      <c r="G728" s="75">
        <f t="shared" si="255"/>
        <v>143.09</v>
      </c>
      <c r="H728" s="76">
        <f t="shared" si="256"/>
        <v>143.09</v>
      </c>
      <c r="I728" s="75"/>
      <c r="J728" s="75"/>
      <c r="K728" s="75">
        <f t="shared" si="257"/>
        <v>1</v>
      </c>
      <c r="L728" s="76">
        <f t="shared" si="258"/>
        <v>112.15</v>
      </c>
      <c r="M728" s="76">
        <f t="shared" si="259"/>
        <v>0</v>
      </c>
      <c r="N728" s="76">
        <f t="shared" si="260"/>
        <v>0</v>
      </c>
      <c r="O728" s="76">
        <f t="shared" si="261"/>
        <v>143.09</v>
      </c>
      <c r="P728" s="76"/>
      <c r="Q728" s="51"/>
      <c r="T728" s="53">
        <v>112.15</v>
      </c>
    </row>
    <row r="729" spans="1:20" s="56" customFormat="1" ht="12" x14ac:dyDescent="0.2">
      <c r="A729" s="72"/>
      <c r="B729" s="81">
        <v>44959</v>
      </c>
      <c r="C729" s="71" t="s">
        <v>1144</v>
      </c>
      <c r="D729" s="72"/>
      <c r="E729" s="72"/>
      <c r="F729" s="75"/>
      <c r="G729" s="72"/>
      <c r="H729" s="75"/>
      <c r="I729" s="72"/>
      <c r="J729" s="72"/>
      <c r="K729" s="75"/>
      <c r="L729" s="72"/>
      <c r="M729" s="75"/>
      <c r="N729" s="75"/>
      <c r="O729" s="75"/>
      <c r="P729" s="75"/>
      <c r="Q729" s="53"/>
      <c r="T729" s="52"/>
    </row>
    <row r="730" spans="1:20" s="56" customFormat="1" ht="24" x14ac:dyDescent="0.2">
      <c r="A730" s="73" t="s">
        <v>308</v>
      </c>
      <c r="B730" s="73" t="s">
        <v>1145</v>
      </c>
      <c r="C730" s="74" t="s">
        <v>1146</v>
      </c>
      <c r="D730" s="73" t="s">
        <v>102</v>
      </c>
      <c r="E730" s="75">
        <v>1</v>
      </c>
      <c r="F730" s="75">
        <f>ROUND(T730*$T$10,2)</f>
        <v>649.99</v>
      </c>
      <c r="G730" s="75">
        <f t="shared" ref="G730:G735" si="262">ROUND(F730*(1+$U$1),2)</f>
        <v>829.32</v>
      </c>
      <c r="H730" s="76">
        <f t="shared" ref="H730:H735" si="263">ROUND(E730*G730,2)</f>
        <v>829.32</v>
      </c>
      <c r="I730" s="75"/>
      <c r="J730" s="75"/>
      <c r="K730" s="75">
        <f>E730-I730</f>
        <v>1</v>
      </c>
      <c r="L730" s="76">
        <f t="shared" ref="L730:L735" si="264">ROUND(E730*F730,2)</f>
        <v>649.99</v>
      </c>
      <c r="M730" s="76">
        <f>I730*G730</f>
        <v>0</v>
      </c>
      <c r="N730" s="76">
        <f>J730*G730</f>
        <v>0</v>
      </c>
      <c r="O730" s="76">
        <f>H730-N730</f>
        <v>829.32</v>
      </c>
      <c r="P730" s="76"/>
      <c r="Q730" s="51"/>
      <c r="T730" s="53">
        <v>649.99</v>
      </c>
    </row>
    <row r="731" spans="1:20" s="56" customFormat="1" ht="12" x14ac:dyDescent="0.2">
      <c r="A731" s="72"/>
      <c r="B731" s="81">
        <v>44960</v>
      </c>
      <c r="C731" s="71" t="s">
        <v>684</v>
      </c>
      <c r="D731" s="72"/>
      <c r="E731" s="72"/>
      <c r="F731" s="75"/>
      <c r="G731" s="75">
        <f t="shared" si="262"/>
        <v>0</v>
      </c>
      <c r="H731" s="76">
        <f t="shared" si="263"/>
        <v>0</v>
      </c>
      <c r="I731" s="72"/>
      <c r="J731" s="72"/>
      <c r="K731" s="75"/>
      <c r="L731" s="76">
        <f t="shared" si="264"/>
        <v>0</v>
      </c>
      <c r="M731" s="76"/>
      <c r="N731" s="76"/>
      <c r="O731" s="76"/>
      <c r="P731" s="76"/>
      <c r="Q731" s="51"/>
      <c r="T731" s="52"/>
    </row>
    <row r="732" spans="1:20" s="56" customFormat="1" ht="24" x14ac:dyDescent="0.2">
      <c r="A732" s="73" t="s">
        <v>308</v>
      </c>
      <c r="B732" s="73" t="s">
        <v>1147</v>
      </c>
      <c r="C732" s="74" t="s">
        <v>1148</v>
      </c>
      <c r="D732" s="73" t="s">
        <v>102</v>
      </c>
      <c r="E732" s="75">
        <v>3</v>
      </c>
      <c r="F732" s="75">
        <f>ROUND(T732*$T$10,2)</f>
        <v>33.46</v>
      </c>
      <c r="G732" s="75">
        <f t="shared" si="262"/>
        <v>42.69</v>
      </c>
      <c r="H732" s="76">
        <f t="shared" si="263"/>
        <v>128.07</v>
      </c>
      <c r="I732" s="75"/>
      <c r="J732" s="75"/>
      <c r="K732" s="75">
        <f>E732-I732</f>
        <v>3</v>
      </c>
      <c r="L732" s="76">
        <f t="shared" si="264"/>
        <v>100.38</v>
      </c>
      <c r="M732" s="76">
        <f>I732*G732</f>
        <v>0</v>
      </c>
      <c r="N732" s="76">
        <f>J732*G732</f>
        <v>0</v>
      </c>
      <c r="O732" s="76">
        <f>H732-N732</f>
        <v>128.07</v>
      </c>
      <c r="P732" s="76"/>
      <c r="Q732" s="51"/>
      <c r="T732" s="53">
        <v>33.46</v>
      </c>
    </row>
    <row r="733" spans="1:20" s="56" customFormat="1" ht="24" x14ac:dyDescent="0.2">
      <c r="A733" s="73" t="s">
        <v>308</v>
      </c>
      <c r="B733" s="73" t="s">
        <v>1149</v>
      </c>
      <c r="C733" s="74" t="s">
        <v>1150</v>
      </c>
      <c r="D733" s="73" t="s">
        <v>102</v>
      </c>
      <c r="E733" s="75">
        <v>3</v>
      </c>
      <c r="F733" s="75">
        <f>ROUND(T733*$T$10,2)</f>
        <v>21.01</v>
      </c>
      <c r="G733" s="75">
        <f t="shared" si="262"/>
        <v>26.81</v>
      </c>
      <c r="H733" s="76">
        <f t="shared" si="263"/>
        <v>80.430000000000007</v>
      </c>
      <c r="I733" s="75"/>
      <c r="J733" s="75"/>
      <c r="K733" s="75">
        <f>E733-I733</f>
        <v>3</v>
      </c>
      <c r="L733" s="76">
        <f t="shared" si="264"/>
        <v>63.03</v>
      </c>
      <c r="M733" s="76">
        <f>I733*G733</f>
        <v>0</v>
      </c>
      <c r="N733" s="76">
        <f>J733*G733</f>
        <v>0</v>
      </c>
      <c r="O733" s="76">
        <f>H733-N733</f>
        <v>80.430000000000007</v>
      </c>
      <c r="P733" s="76"/>
      <c r="Q733" s="51"/>
      <c r="T733" s="53">
        <v>21.01</v>
      </c>
    </row>
    <row r="734" spans="1:20" s="56" customFormat="1" ht="24" x14ac:dyDescent="0.2">
      <c r="A734" s="73" t="s">
        <v>308</v>
      </c>
      <c r="B734" s="73" t="s">
        <v>1151</v>
      </c>
      <c r="C734" s="74" t="s">
        <v>1152</v>
      </c>
      <c r="D734" s="73" t="s">
        <v>102</v>
      </c>
      <c r="E734" s="75">
        <v>2</v>
      </c>
      <c r="F734" s="75">
        <f>ROUND(T734*$T$10,2)</f>
        <v>33.46</v>
      </c>
      <c r="G734" s="75">
        <f t="shared" si="262"/>
        <v>42.69</v>
      </c>
      <c r="H734" s="76">
        <f t="shared" si="263"/>
        <v>85.38</v>
      </c>
      <c r="I734" s="75"/>
      <c r="J734" s="75"/>
      <c r="K734" s="75">
        <f>E734-I734</f>
        <v>2</v>
      </c>
      <c r="L734" s="76">
        <f t="shared" si="264"/>
        <v>66.92</v>
      </c>
      <c r="M734" s="76">
        <f>I734*G734</f>
        <v>0</v>
      </c>
      <c r="N734" s="76">
        <f>J734*G734</f>
        <v>0</v>
      </c>
      <c r="O734" s="76">
        <f>H734-N734</f>
        <v>85.38</v>
      </c>
      <c r="P734" s="76"/>
      <c r="Q734" s="51"/>
      <c r="T734" s="53">
        <v>33.46</v>
      </c>
    </row>
    <row r="735" spans="1:20" s="56" customFormat="1" ht="12" x14ac:dyDescent="0.2">
      <c r="A735" s="73" t="s">
        <v>308</v>
      </c>
      <c r="B735" s="73" t="s">
        <v>1153</v>
      </c>
      <c r="C735" s="74" t="s">
        <v>1154</v>
      </c>
      <c r="D735" s="73" t="s">
        <v>81</v>
      </c>
      <c r="E735" s="75">
        <v>3</v>
      </c>
      <c r="F735" s="75">
        <f>ROUND(T735*$T$10,2)</f>
        <v>9.4</v>
      </c>
      <c r="G735" s="75">
        <f t="shared" si="262"/>
        <v>11.99</v>
      </c>
      <c r="H735" s="76">
        <f t="shared" si="263"/>
        <v>35.97</v>
      </c>
      <c r="I735" s="75"/>
      <c r="J735" s="75"/>
      <c r="K735" s="75">
        <f>E735-I735</f>
        <v>3</v>
      </c>
      <c r="L735" s="76">
        <f t="shared" si="264"/>
        <v>28.2</v>
      </c>
      <c r="M735" s="76">
        <f>I735*G735</f>
        <v>0</v>
      </c>
      <c r="N735" s="76">
        <f>J735*G735</f>
        <v>0</v>
      </c>
      <c r="O735" s="76">
        <f>H735-N735</f>
        <v>35.97</v>
      </c>
      <c r="P735" s="76"/>
      <c r="Q735" s="51"/>
      <c r="T735" s="53">
        <v>9.4</v>
      </c>
    </row>
    <row r="736" spans="1:20" s="56" customFormat="1" ht="12" x14ac:dyDescent="0.2">
      <c r="A736" s="72"/>
      <c r="B736" s="71"/>
      <c r="C736" s="71"/>
      <c r="D736" s="71"/>
      <c r="E736" s="71"/>
      <c r="F736" s="75"/>
      <c r="G736" s="77" t="s">
        <v>1155</v>
      </c>
      <c r="H736" s="78">
        <f>SUM(H723:H735)</f>
        <v>2250.64</v>
      </c>
      <c r="I736" s="71"/>
      <c r="J736" s="71"/>
      <c r="K736" s="71"/>
      <c r="L736" s="78">
        <f>SUM(L723:L735)</f>
        <v>1763.9</v>
      </c>
      <c r="M736" s="78">
        <f>SUM(M723:M735)</f>
        <v>0</v>
      </c>
      <c r="N736" s="78">
        <f>SUM(N723:N735)</f>
        <v>0</v>
      </c>
      <c r="O736" s="78">
        <f>SUM(O723:O735)</f>
        <v>2250.64</v>
      </c>
      <c r="P736" s="78"/>
      <c r="Q736" s="60"/>
      <c r="T736" s="59"/>
    </row>
    <row r="737" spans="1:20" s="56" customFormat="1" ht="12" x14ac:dyDescent="0.2">
      <c r="A737" s="72"/>
      <c r="B737" s="71"/>
      <c r="C737" s="71"/>
      <c r="D737" s="71"/>
      <c r="E737" s="71"/>
      <c r="F737" s="75"/>
      <c r="G737" s="77" t="s">
        <v>1156</v>
      </c>
      <c r="H737" s="78">
        <f>SUM(H720,H736)</f>
        <v>3595.58</v>
      </c>
      <c r="I737" s="71"/>
      <c r="J737" s="71"/>
      <c r="K737" s="71"/>
      <c r="L737" s="78">
        <f>SUM(L720,L736)</f>
        <v>2818.01</v>
      </c>
      <c r="M737" s="78">
        <f>SUM(M720,M736)</f>
        <v>0</v>
      </c>
      <c r="N737" s="78">
        <f>SUM(N720,N736)</f>
        <v>0</v>
      </c>
      <c r="O737" s="78">
        <f>SUM(O720,O736)</f>
        <v>3595.58</v>
      </c>
      <c r="P737" s="78"/>
      <c r="Q737" s="60"/>
      <c r="T737" s="59"/>
    </row>
    <row r="738" spans="1:20" s="56" customFormat="1" ht="12" x14ac:dyDescent="0.2">
      <c r="A738" s="72"/>
      <c r="B738" s="70" t="s">
        <v>1157</v>
      </c>
      <c r="C738" s="71" t="s">
        <v>1158</v>
      </c>
      <c r="D738" s="72"/>
      <c r="E738" s="72"/>
      <c r="F738" s="75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52"/>
      <c r="T738" s="52"/>
    </row>
    <row r="739" spans="1:20" s="56" customFormat="1" ht="24" x14ac:dyDescent="0.2">
      <c r="A739" s="72"/>
      <c r="B739" s="70" t="s">
        <v>1159</v>
      </c>
      <c r="C739" s="71" t="s">
        <v>1160</v>
      </c>
      <c r="D739" s="71"/>
      <c r="E739" s="71"/>
      <c r="F739" s="75"/>
      <c r="G739" s="71"/>
      <c r="H739" s="72"/>
      <c r="I739" s="71"/>
      <c r="J739" s="71"/>
      <c r="K739" s="71"/>
      <c r="L739" s="71"/>
      <c r="M739" s="72"/>
      <c r="N739" s="72"/>
      <c r="O739" s="72"/>
      <c r="P739" s="72"/>
      <c r="Q739" s="52"/>
      <c r="T739" s="59"/>
    </row>
    <row r="740" spans="1:20" s="56" customFormat="1" ht="12" x14ac:dyDescent="0.2">
      <c r="A740" s="72"/>
      <c r="B740" s="81">
        <v>45292</v>
      </c>
      <c r="C740" s="71" t="s">
        <v>626</v>
      </c>
      <c r="D740" s="71"/>
      <c r="E740" s="71"/>
      <c r="F740" s="75"/>
      <c r="G740" s="71"/>
      <c r="H740" s="72"/>
      <c r="I740" s="71"/>
      <c r="J740" s="71"/>
      <c r="K740" s="71"/>
      <c r="L740" s="71"/>
      <c r="M740" s="72"/>
      <c r="N740" s="72"/>
      <c r="O740" s="72"/>
      <c r="P740" s="72"/>
      <c r="Q740" s="52"/>
      <c r="T740" s="59"/>
    </row>
    <row r="741" spans="1:20" s="56" customFormat="1" ht="12" x14ac:dyDescent="0.2">
      <c r="A741" s="94">
        <v>92690</v>
      </c>
      <c r="B741" s="73" t="s">
        <v>1161</v>
      </c>
      <c r="C741" s="74" t="s">
        <v>1162</v>
      </c>
      <c r="D741" s="73" t="s">
        <v>81</v>
      </c>
      <c r="E741" s="75">
        <v>18</v>
      </c>
      <c r="F741" s="75">
        <f>ROUND(T741*$T$10,2)</f>
        <v>35.74</v>
      </c>
      <c r="G741" s="75">
        <f>ROUND(F741*(1+$U$1),2)</f>
        <v>45.6</v>
      </c>
      <c r="H741" s="76">
        <f>ROUND(E741*G741,2)</f>
        <v>820.8</v>
      </c>
      <c r="I741" s="75"/>
      <c r="J741" s="75"/>
      <c r="K741" s="75">
        <f>E741-I741</f>
        <v>18</v>
      </c>
      <c r="L741" s="76">
        <f>ROUND(E741*F741,2)</f>
        <v>643.32000000000005</v>
      </c>
      <c r="M741" s="76">
        <f t="shared" ref="M741:M774" si="265">I741*G741</f>
        <v>0</v>
      </c>
      <c r="N741" s="76">
        <f t="shared" ref="N741:N774" si="266">J741*G741</f>
        <v>0</v>
      </c>
      <c r="O741" s="76">
        <f t="shared" ref="O741:O774" si="267">H741-N741</f>
        <v>820.8</v>
      </c>
      <c r="P741" s="76"/>
      <c r="Q741" s="51"/>
      <c r="T741" s="53">
        <v>35.74</v>
      </c>
    </row>
    <row r="742" spans="1:20" s="56" customFormat="1" ht="12" x14ac:dyDescent="0.2">
      <c r="A742" s="94">
        <v>92689</v>
      </c>
      <c r="B742" s="73" t="s">
        <v>1163</v>
      </c>
      <c r="C742" s="74" t="s">
        <v>1164</v>
      </c>
      <c r="D742" s="73" t="s">
        <v>81</v>
      </c>
      <c r="E742" s="75">
        <v>18</v>
      </c>
      <c r="F742" s="75">
        <f>ROUND(T742*$T$10,2)</f>
        <v>24.41</v>
      </c>
      <c r="G742" s="75">
        <f>ROUND(F742*(1+$U$1),2)</f>
        <v>31.14</v>
      </c>
      <c r="H742" s="76">
        <f>ROUND(E742*G742,2)</f>
        <v>560.52</v>
      </c>
      <c r="I742" s="75"/>
      <c r="J742" s="75"/>
      <c r="K742" s="75">
        <f>E742-I742</f>
        <v>18</v>
      </c>
      <c r="L742" s="76">
        <f>ROUND(E742*F742,2)</f>
        <v>439.38</v>
      </c>
      <c r="M742" s="76">
        <f t="shared" si="265"/>
        <v>0</v>
      </c>
      <c r="N742" s="76">
        <f t="shared" si="266"/>
        <v>0</v>
      </c>
      <c r="O742" s="76">
        <f t="shared" si="267"/>
        <v>560.52</v>
      </c>
      <c r="P742" s="76"/>
      <c r="Q742" s="51"/>
      <c r="T742" s="53">
        <v>24.41</v>
      </c>
    </row>
    <row r="743" spans="1:20" s="56" customFormat="1" ht="12" x14ac:dyDescent="0.2">
      <c r="A743" s="72"/>
      <c r="B743" s="81">
        <v>45293</v>
      </c>
      <c r="C743" s="71" t="s">
        <v>450</v>
      </c>
      <c r="D743" s="72"/>
      <c r="E743" s="72"/>
      <c r="F743" s="75"/>
      <c r="G743" s="72"/>
      <c r="H743" s="72"/>
      <c r="I743" s="72"/>
      <c r="J743" s="72"/>
      <c r="K743" s="75"/>
      <c r="L743" s="72"/>
      <c r="M743" s="76">
        <f t="shared" si="265"/>
        <v>0</v>
      </c>
      <c r="N743" s="76">
        <f t="shared" si="266"/>
        <v>0</v>
      </c>
      <c r="O743" s="76">
        <f t="shared" si="267"/>
        <v>0</v>
      </c>
      <c r="P743" s="72"/>
      <c r="Q743" s="52"/>
      <c r="T743" s="52"/>
    </row>
    <row r="744" spans="1:20" s="56" customFormat="1" ht="12" x14ac:dyDescent="0.2">
      <c r="A744" s="73" t="s">
        <v>308</v>
      </c>
      <c r="B744" s="73" t="s">
        <v>1165</v>
      </c>
      <c r="C744" s="74" t="s">
        <v>1166</v>
      </c>
      <c r="D744" s="73" t="s">
        <v>102</v>
      </c>
      <c r="E744" s="75">
        <v>2</v>
      </c>
      <c r="F744" s="75">
        <f>ROUND(T744*$T$10,2)</f>
        <v>18.7</v>
      </c>
      <c r="G744" s="75">
        <f>ROUND(F744*(1+$U$1),2)</f>
        <v>23.86</v>
      </c>
      <c r="H744" s="76">
        <f>ROUND(E744*G744,2)</f>
        <v>47.72</v>
      </c>
      <c r="I744" s="75"/>
      <c r="J744" s="75"/>
      <c r="K744" s="75">
        <f>E744-I744</f>
        <v>2</v>
      </c>
      <c r="L744" s="76">
        <f>ROUND(E744*F744,2)</f>
        <v>37.4</v>
      </c>
      <c r="M744" s="76">
        <f t="shared" si="265"/>
        <v>0</v>
      </c>
      <c r="N744" s="76">
        <f t="shared" si="266"/>
        <v>0</v>
      </c>
      <c r="O744" s="76">
        <f t="shared" si="267"/>
        <v>47.72</v>
      </c>
      <c r="P744" s="76"/>
      <c r="Q744" s="51"/>
      <c r="T744" s="53">
        <v>18.7</v>
      </c>
    </row>
    <row r="745" spans="1:20" s="56" customFormat="1" ht="12" x14ac:dyDescent="0.2">
      <c r="A745" s="72"/>
      <c r="B745" s="81">
        <v>45294</v>
      </c>
      <c r="C745" s="71" t="s">
        <v>750</v>
      </c>
      <c r="D745" s="72"/>
      <c r="E745" s="72"/>
      <c r="F745" s="75"/>
      <c r="G745" s="75"/>
      <c r="H745" s="72"/>
      <c r="I745" s="72"/>
      <c r="J745" s="72"/>
      <c r="K745" s="72"/>
      <c r="L745" s="75"/>
      <c r="M745" s="76">
        <f t="shared" si="265"/>
        <v>0</v>
      </c>
      <c r="N745" s="76">
        <f t="shared" si="266"/>
        <v>0</v>
      </c>
      <c r="O745" s="76">
        <f t="shared" si="267"/>
        <v>0</v>
      </c>
      <c r="P745" s="72"/>
      <c r="Q745" s="52"/>
      <c r="T745" s="52"/>
    </row>
    <row r="746" spans="1:20" s="56" customFormat="1" ht="24" x14ac:dyDescent="0.2">
      <c r="A746" s="73" t="s">
        <v>308</v>
      </c>
      <c r="B746" s="73" t="s">
        <v>1167</v>
      </c>
      <c r="C746" s="74" t="s">
        <v>1168</v>
      </c>
      <c r="D746" s="73" t="s">
        <v>102</v>
      </c>
      <c r="E746" s="75">
        <v>3</v>
      </c>
      <c r="F746" s="75">
        <f>ROUND(T746*$T$10,2)</f>
        <v>14.45</v>
      </c>
      <c r="G746" s="75">
        <f>ROUND(F746*(1+$U$1),2)</f>
        <v>18.440000000000001</v>
      </c>
      <c r="H746" s="76">
        <f>ROUND(E746*G746,2)</f>
        <v>55.32</v>
      </c>
      <c r="I746" s="75"/>
      <c r="J746" s="75"/>
      <c r="K746" s="75">
        <f>E746-I746</f>
        <v>3</v>
      </c>
      <c r="L746" s="76">
        <f>ROUND(E746*F746,2)</f>
        <v>43.35</v>
      </c>
      <c r="M746" s="76">
        <f t="shared" si="265"/>
        <v>0</v>
      </c>
      <c r="N746" s="76">
        <f t="shared" si="266"/>
        <v>0</v>
      </c>
      <c r="O746" s="76">
        <f t="shared" si="267"/>
        <v>55.32</v>
      </c>
      <c r="P746" s="76"/>
      <c r="Q746" s="51"/>
      <c r="T746" s="53">
        <v>14.45</v>
      </c>
    </row>
    <row r="747" spans="1:20" s="56" customFormat="1" ht="24" x14ac:dyDescent="0.2">
      <c r="A747" s="73" t="s">
        <v>308</v>
      </c>
      <c r="B747" s="73" t="s">
        <v>1169</v>
      </c>
      <c r="C747" s="74" t="s">
        <v>1170</v>
      </c>
      <c r="D747" s="73" t="s">
        <v>102</v>
      </c>
      <c r="E747" s="75">
        <v>3</v>
      </c>
      <c r="F747" s="75">
        <f>ROUND(T747*$T$10,2)</f>
        <v>11.87</v>
      </c>
      <c r="G747" s="75">
        <f>ROUND(F747*(1+$U$1),2)</f>
        <v>15.14</v>
      </c>
      <c r="H747" s="76">
        <f>ROUND(E747*G747,2)</f>
        <v>45.42</v>
      </c>
      <c r="I747" s="75"/>
      <c r="J747" s="75"/>
      <c r="K747" s="75">
        <f>E747-I747</f>
        <v>3</v>
      </c>
      <c r="L747" s="76">
        <f>ROUND(E747*F747,2)</f>
        <v>35.61</v>
      </c>
      <c r="M747" s="76">
        <f t="shared" si="265"/>
        <v>0</v>
      </c>
      <c r="N747" s="76">
        <f t="shared" si="266"/>
        <v>0</v>
      </c>
      <c r="O747" s="76">
        <f t="shared" si="267"/>
        <v>45.42</v>
      </c>
      <c r="P747" s="76"/>
      <c r="Q747" s="51"/>
      <c r="T747" s="53">
        <v>11.87</v>
      </c>
    </row>
    <row r="748" spans="1:20" s="56" customFormat="1" ht="12" x14ac:dyDescent="0.2">
      <c r="A748" s="72"/>
      <c r="B748" s="81">
        <v>45295</v>
      </c>
      <c r="C748" s="71" t="s">
        <v>652</v>
      </c>
      <c r="D748" s="72"/>
      <c r="E748" s="72"/>
      <c r="F748" s="75"/>
      <c r="G748" s="72"/>
      <c r="H748" s="72"/>
      <c r="I748" s="72"/>
      <c r="J748" s="72"/>
      <c r="K748" s="72"/>
      <c r="L748" s="72"/>
      <c r="M748" s="76">
        <f t="shared" si="265"/>
        <v>0</v>
      </c>
      <c r="N748" s="76">
        <f t="shared" si="266"/>
        <v>0</v>
      </c>
      <c r="O748" s="76">
        <f t="shared" si="267"/>
        <v>0</v>
      </c>
      <c r="P748" s="72"/>
      <c r="Q748" s="52"/>
      <c r="T748" s="52"/>
    </row>
    <row r="749" spans="1:20" s="56" customFormat="1" ht="12" x14ac:dyDescent="0.2">
      <c r="A749" s="73" t="s">
        <v>308</v>
      </c>
      <c r="B749" s="73" t="s">
        <v>1171</v>
      </c>
      <c r="C749" s="74" t="s">
        <v>1172</v>
      </c>
      <c r="D749" s="73" t="s">
        <v>102</v>
      </c>
      <c r="E749" s="75">
        <v>8</v>
      </c>
      <c r="F749" s="75">
        <f>ROUND(T749*$T$10,2)</f>
        <v>15.21</v>
      </c>
      <c r="G749" s="75">
        <f>ROUND(F749*(1+$U$1),2)</f>
        <v>19.41</v>
      </c>
      <c r="H749" s="76">
        <f>ROUND(E749*G749,2)</f>
        <v>155.28</v>
      </c>
      <c r="I749" s="75"/>
      <c r="J749" s="75"/>
      <c r="K749" s="75">
        <f>E749-I749</f>
        <v>8</v>
      </c>
      <c r="L749" s="76">
        <f>ROUND(E749*F749,2)</f>
        <v>121.68</v>
      </c>
      <c r="M749" s="76">
        <f t="shared" si="265"/>
        <v>0</v>
      </c>
      <c r="N749" s="76">
        <f t="shared" si="266"/>
        <v>0</v>
      </c>
      <c r="O749" s="76">
        <f t="shared" si="267"/>
        <v>155.28</v>
      </c>
      <c r="P749" s="76"/>
      <c r="Q749" s="51"/>
      <c r="T749" s="53">
        <v>15.21</v>
      </c>
    </row>
    <row r="750" spans="1:20" s="56" customFormat="1" ht="12" x14ac:dyDescent="0.2">
      <c r="A750" s="73" t="s">
        <v>308</v>
      </c>
      <c r="B750" s="73" t="s">
        <v>1173</v>
      </c>
      <c r="C750" s="74" t="s">
        <v>1174</v>
      </c>
      <c r="D750" s="73" t="s">
        <v>102</v>
      </c>
      <c r="E750" s="75">
        <v>2</v>
      </c>
      <c r="F750" s="75">
        <f>ROUND(T750*$T$10,2)</f>
        <v>15.21</v>
      </c>
      <c r="G750" s="75">
        <f>ROUND(F750*(1+$U$1),2)</f>
        <v>19.41</v>
      </c>
      <c r="H750" s="76">
        <f>ROUND(E750*G750,2)</f>
        <v>38.82</v>
      </c>
      <c r="I750" s="75"/>
      <c r="J750" s="75"/>
      <c r="K750" s="75">
        <f>E750-I750</f>
        <v>2</v>
      </c>
      <c r="L750" s="76">
        <f>ROUND(E750*F750,2)</f>
        <v>30.42</v>
      </c>
      <c r="M750" s="76">
        <f t="shared" si="265"/>
        <v>0</v>
      </c>
      <c r="N750" s="76">
        <f t="shared" si="266"/>
        <v>0</v>
      </c>
      <c r="O750" s="76">
        <f t="shared" si="267"/>
        <v>38.82</v>
      </c>
      <c r="P750" s="76"/>
      <c r="Q750" s="51"/>
      <c r="T750" s="53">
        <v>15.21</v>
      </c>
    </row>
    <row r="751" spans="1:20" s="56" customFormat="1" ht="12" x14ac:dyDescent="0.2">
      <c r="A751" s="72"/>
      <c r="B751" s="81">
        <v>45296</v>
      </c>
      <c r="C751" s="71" t="s">
        <v>1177</v>
      </c>
      <c r="D751" s="72"/>
      <c r="E751" s="72"/>
      <c r="F751" s="75"/>
      <c r="G751" s="72"/>
      <c r="H751" s="72"/>
      <c r="I751" s="72"/>
      <c r="J751" s="72"/>
      <c r="K751" s="72"/>
      <c r="L751" s="72"/>
      <c r="M751" s="76">
        <f t="shared" si="265"/>
        <v>0</v>
      </c>
      <c r="N751" s="76">
        <f t="shared" si="266"/>
        <v>0</v>
      </c>
      <c r="O751" s="76">
        <f t="shared" si="267"/>
        <v>0</v>
      </c>
      <c r="P751" s="72"/>
      <c r="Q751" s="52"/>
      <c r="T751" s="52"/>
    </row>
    <row r="752" spans="1:20" s="56" customFormat="1" ht="24" x14ac:dyDescent="0.2">
      <c r="A752" s="73" t="s">
        <v>308</v>
      </c>
      <c r="B752" s="73" t="s">
        <v>1178</v>
      </c>
      <c r="C752" s="74" t="s">
        <v>1179</v>
      </c>
      <c r="D752" s="73" t="s">
        <v>102</v>
      </c>
      <c r="E752" s="75">
        <v>2</v>
      </c>
      <c r="F752" s="75">
        <f>ROUND(T752*$T$10,2)</f>
        <v>20.8</v>
      </c>
      <c r="G752" s="75">
        <f>ROUND(F752*(1+$U$1),2)</f>
        <v>26.54</v>
      </c>
      <c r="H752" s="76">
        <f>ROUND(E752*G752,2)</f>
        <v>53.08</v>
      </c>
      <c r="I752" s="75"/>
      <c r="J752" s="75"/>
      <c r="K752" s="75">
        <f>E752-I752</f>
        <v>2</v>
      </c>
      <c r="L752" s="76">
        <f>ROUND(E752*F752,2)</f>
        <v>41.6</v>
      </c>
      <c r="M752" s="76">
        <f t="shared" si="265"/>
        <v>0</v>
      </c>
      <c r="N752" s="76">
        <f t="shared" si="266"/>
        <v>0</v>
      </c>
      <c r="O752" s="76">
        <f t="shared" si="267"/>
        <v>53.08</v>
      </c>
      <c r="P752" s="76"/>
      <c r="Q752" s="51"/>
      <c r="T752" s="53">
        <v>20.8</v>
      </c>
    </row>
    <row r="753" spans="1:20" s="56" customFormat="1" ht="12" x14ac:dyDescent="0.2">
      <c r="A753" s="72"/>
      <c r="B753" s="81">
        <v>45297</v>
      </c>
      <c r="C753" s="71" t="s">
        <v>473</v>
      </c>
      <c r="D753" s="72"/>
      <c r="E753" s="72"/>
      <c r="F753" s="75"/>
      <c r="G753" s="72"/>
      <c r="H753" s="72"/>
      <c r="I753" s="72"/>
      <c r="J753" s="72"/>
      <c r="K753" s="75"/>
      <c r="L753" s="72"/>
      <c r="M753" s="76">
        <f t="shared" si="265"/>
        <v>0</v>
      </c>
      <c r="N753" s="76">
        <f t="shared" si="266"/>
        <v>0</v>
      </c>
      <c r="O753" s="76">
        <f t="shared" si="267"/>
        <v>0</v>
      </c>
      <c r="P753" s="72"/>
      <c r="Q753" s="52"/>
      <c r="T753" s="52"/>
    </row>
    <row r="754" spans="1:20" s="56" customFormat="1" ht="12" x14ac:dyDescent="0.2">
      <c r="A754" s="73" t="s">
        <v>308</v>
      </c>
      <c r="B754" s="73" t="s">
        <v>1180</v>
      </c>
      <c r="C754" s="74" t="s">
        <v>1181</v>
      </c>
      <c r="D754" s="73" t="s">
        <v>102</v>
      </c>
      <c r="E754" s="75">
        <v>3</v>
      </c>
      <c r="F754" s="75">
        <f>ROUND(T754*$T$10,2)</f>
        <v>79</v>
      </c>
      <c r="G754" s="75">
        <f>ROUND(F754*(1+$U$1),2)</f>
        <v>100.8</v>
      </c>
      <c r="H754" s="76">
        <f>ROUND(E754*G754,2)</f>
        <v>302.39999999999998</v>
      </c>
      <c r="I754" s="75"/>
      <c r="J754" s="75"/>
      <c r="K754" s="75">
        <f>E754-I754</f>
        <v>3</v>
      </c>
      <c r="L754" s="76">
        <f>ROUND(E754*F754,2)</f>
        <v>237</v>
      </c>
      <c r="M754" s="76">
        <f t="shared" si="265"/>
        <v>0</v>
      </c>
      <c r="N754" s="76">
        <f t="shared" si="266"/>
        <v>0</v>
      </c>
      <c r="O754" s="76">
        <f t="shared" si="267"/>
        <v>302.39999999999998</v>
      </c>
      <c r="P754" s="76"/>
      <c r="Q754" s="51"/>
      <c r="T754" s="53">
        <v>79</v>
      </c>
    </row>
    <row r="755" spans="1:20" s="56" customFormat="1" ht="12" x14ac:dyDescent="0.2">
      <c r="A755" s="72"/>
      <c r="B755" s="81">
        <v>45298</v>
      </c>
      <c r="C755" s="71" t="s">
        <v>1182</v>
      </c>
      <c r="D755" s="72"/>
      <c r="E755" s="72"/>
      <c r="F755" s="75"/>
      <c r="G755" s="72"/>
      <c r="H755" s="72"/>
      <c r="I755" s="72"/>
      <c r="J755" s="72"/>
      <c r="K755" s="75"/>
      <c r="L755" s="72"/>
      <c r="M755" s="76">
        <f t="shared" si="265"/>
        <v>0</v>
      </c>
      <c r="N755" s="76">
        <f t="shared" si="266"/>
        <v>0</v>
      </c>
      <c r="O755" s="76">
        <f t="shared" si="267"/>
        <v>0</v>
      </c>
      <c r="P755" s="72"/>
      <c r="Q755" s="52"/>
      <c r="T755" s="52"/>
    </row>
    <row r="756" spans="1:20" s="56" customFormat="1" ht="12" x14ac:dyDescent="0.2">
      <c r="A756" s="73" t="s">
        <v>308</v>
      </c>
      <c r="B756" s="73" t="s">
        <v>1183</v>
      </c>
      <c r="C756" s="74" t="s">
        <v>1184</v>
      </c>
      <c r="D756" s="73" t="s">
        <v>102</v>
      </c>
      <c r="E756" s="75">
        <v>3</v>
      </c>
      <c r="F756" s="75">
        <f>ROUND(T756*$T$10,2)</f>
        <v>18.899999999999999</v>
      </c>
      <c r="G756" s="75">
        <f>ROUND(F756*(1+$U$1),2)</f>
        <v>24.11</v>
      </c>
      <c r="H756" s="76">
        <f>ROUND(E756*G756,2)</f>
        <v>72.33</v>
      </c>
      <c r="I756" s="75"/>
      <c r="J756" s="75"/>
      <c r="K756" s="75">
        <f>E756-I756</f>
        <v>3</v>
      </c>
      <c r="L756" s="76">
        <f>ROUND(E756*F756,2)</f>
        <v>56.7</v>
      </c>
      <c r="M756" s="76">
        <f t="shared" si="265"/>
        <v>0</v>
      </c>
      <c r="N756" s="76">
        <f t="shared" si="266"/>
        <v>0</v>
      </c>
      <c r="O756" s="76">
        <f t="shared" si="267"/>
        <v>72.33</v>
      </c>
      <c r="P756" s="76"/>
      <c r="Q756" s="51"/>
      <c r="T756" s="53">
        <v>18.899999999999999</v>
      </c>
    </row>
    <row r="757" spans="1:20" s="56" customFormat="1" ht="12" x14ac:dyDescent="0.2">
      <c r="A757" s="73" t="s">
        <v>308</v>
      </c>
      <c r="B757" s="73" t="s">
        <v>1185</v>
      </c>
      <c r="C757" s="74" t="s">
        <v>1186</v>
      </c>
      <c r="D757" s="73" t="s">
        <v>102</v>
      </c>
      <c r="E757" s="75">
        <v>5</v>
      </c>
      <c r="F757" s="75">
        <f>ROUND(T757*$T$10,2)</f>
        <v>15.9</v>
      </c>
      <c r="G757" s="75">
        <f>ROUND(F757*(1+$U$1),2)</f>
        <v>20.29</v>
      </c>
      <c r="H757" s="76">
        <f>ROUND(E757*G757,2)</f>
        <v>101.45</v>
      </c>
      <c r="I757" s="75"/>
      <c r="J757" s="75"/>
      <c r="K757" s="75">
        <f>E757-I757</f>
        <v>5</v>
      </c>
      <c r="L757" s="76">
        <f>ROUND(E757*F757,2)</f>
        <v>79.5</v>
      </c>
      <c r="M757" s="76">
        <f t="shared" si="265"/>
        <v>0</v>
      </c>
      <c r="N757" s="76">
        <f t="shared" si="266"/>
        <v>0</v>
      </c>
      <c r="O757" s="76">
        <f t="shared" si="267"/>
        <v>101.45</v>
      </c>
      <c r="P757" s="76"/>
      <c r="Q757" s="51"/>
      <c r="T757" s="53">
        <v>15.9</v>
      </c>
    </row>
    <row r="758" spans="1:20" s="56" customFormat="1" ht="12" x14ac:dyDescent="0.2">
      <c r="A758" s="72"/>
      <c r="B758" s="81">
        <v>45299</v>
      </c>
      <c r="C758" s="71" t="s">
        <v>1187</v>
      </c>
      <c r="D758" s="72"/>
      <c r="E758" s="72"/>
      <c r="F758" s="75"/>
      <c r="G758" s="72"/>
      <c r="H758" s="72"/>
      <c r="I758" s="72"/>
      <c r="J758" s="72"/>
      <c r="K758" s="75"/>
      <c r="L758" s="72"/>
      <c r="M758" s="76">
        <f t="shared" si="265"/>
        <v>0</v>
      </c>
      <c r="N758" s="76">
        <f t="shared" si="266"/>
        <v>0</v>
      </c>
      <c r="O758" s="76">
        <f t="shared" si="267"/>
        <v>0</v>
      </c>
      <c r="P758" s="72"/>
      <c r="Q758" s="52"/>
      <c r="T758" s="52"/>
    </row>
    <row r="759" spans="1:20" s="56" customFormat="1" ht="12" x14ac:dyDescent="0.2">
      <c r="A759" s="73" t="s">
        <v>308</v>
      </c>
      <c r="B759" s="73" t="s">
        <v>1188</v>
      </c>
      <c r="C759" s="74" t="s">
        <v>1189</v>
      </c>
      <c r="D759" s="73" t="s">
        <v>102</v>
      </c>
      <c r="E759" s="75">
        <v>4</v>
      </c>
      <c r="F759" s="75">
        <f>ROUND(T759*$T$10,2)</f>
        <v>96</v>
      </c>
      <c r="G759" s="75">
        <f>ROUND(F759*(1+$U$1),2)</f>
        <v>122.49</v>
      </c>
      <c r="H759" s="76">
        <f>ROUND(E759*G759,2)</f>
        <v>489.96</v>
      </c>
      <c r="I759" s="75"/>
      <c r="J759" s="75"/>
      <c r="K759" s="75">
        <f>E759-I759</f>
        <v>4</v>
      </c>
      <c r="L759" s="76">
        <f>ROUND(E759*F759,2)</f>
        <v>384</v>
      </c>
      <c r="M759" s="76">
        <f t="shared" si="265"/>
        <v>0</v>
      </c>
      <c r="N759" s="76">
        <f t="shared" si="266"/>
        <v>0</v>
      </c>
      <c r="O759" s="76">
        <f t="shared" si="267"/>
        <v>489.96</v>
      </c>
      <c r="P759" s="76"/>
      <c r="Q759" s="51"/>
      <c r="T759" s="53">
        <v>96</v>
      </c>
    </row>
    <row r="760" spans="1:20" s="56" customFormat="1" ht="12" x14ac:dyDescent="0.2">
      <c r="A760" s="72"/>
      <c r="B760" s="81">
        <v>45300</v>
      </c>
      <c r="C760" s="71" t="s">
        <v>1190</v>
      </c>
      <c r="D760" s="72"/>
      <c r="E760" s="72"/>
      <c r="F760" s="75"/>
      <c r="G760" s="72"/>
      <c r="H760" s="72"/>
      <c r="I760" s="72"/>
      <c r="J760" s="72"/>
      <c r="K760" s="75"/>
      <c r="L760" s="72"/>
      <c r="M760" s="76">
        <f t="shared" si="265"/>
        <v>0</v>
      </c>
      <c r="N760" s="76">
        <f t="shared" si="266"/>
        <v>0</v>
      </c>
      <c r="O760" s="76">
        <f t="shared" si="267"/>
        <v>0</v>
      </c>
      <c r="P760" s="72"/>
      <c r="Q760" s="52"/>
      <c r="T760" s="52"/>
    </row>
    <row r="761" spans="1:20" s="56" customFormat="1" ht="12" x14ac:dyDescent="0.2">
      <c r="A761" s="73" t="s">
        <v>308</v>
      </c>
      <c r="B761" s="73" t="s">
        <v>1191</v>
      </c>
      <c r="C761" s="74" t="s">
        <v>1192</v>
      </c>
      <c r="D761" s="73" t="s">
        <v>102</v>
      </c>
      <c r="E761" s="75">
        <v>1</v>
      </c>
      <c r="F761" s="75">
        <f>ROUND(T761*$T$10,2)</f>
        <v>28.29</v>
      </c>
      <c r="G761" s="75">
        <f>ROUND(F761*(1+$U$1),2)</f>
        <v>36.1</v>
      </c>
      <c r="H761" s="76">
        <f>ROUND(E761*G761,2)</f>
        <v>36.1</v>
      </c>
      <c r="I761" s="75"/>
      <c r="J761" s="75"/>
      <c r="K761" s="75">
        <f>E761-I761</f>
        <v>1</v>
      </c>
      <c r="L761" s="76">
        <f>ROUND(E761*F761,2)</f>
        <v>28.29</v>
      </c>
      <c r="M761" s="76">
        <f t="shared" si="265"/>
        <v>0</v>
      </c>
      <c r="N761" s="76">
        <f t="shared" si="266"/>
        <v>0</v>
      </c>
      <c r="O761" s="76">
        <f t="shared" si="267"/>
        <v>36.1</v>
      </c>
      <c r="P761" s="76"/>
      <c r="Q761" s="51"/>
      <c r="T761" s="53">
        <v>28.29</v>
      </c>
    </row>
    <row r="762" spans="1:20" s="56" customFormat="1" ht="12" x14ac:dyDescent="0.2">
      <c r="A762" s="73" t="s">
        <v>308</v>
      </c>
      <c r="B762" s="73" t="s">
        <v>1193</v>
      </c>
      <c r="C762" s="74" t="s">
        <v>1194</v>
      </c>
      <c r="D762" s="73" t="s">
        <v>102</v>
      </c>
      <c r="E762" s="75">
        <v>2</v>
      </c>
      <c r="F762" s="75">
        <f>ROUND(T762*$T$10,2)</f>
        <v>21.93</v>
      </c>
      <c r="G762" s="75">
        <f>ROUND(F762*(1+$U$1),2)</f>
        <v>27.98</v>
      </c>
      <c r="H762" s="76">
        <f>ROUND(E762*G762,2)</f>
        <v>55.96</v>
      </c>
      <c r="I762" s="75"/>
      <c r="J762" s="75"/>
      <c r="K762" s="75">
        <f>E762-I762</f>
        <v>2</v>
      </c>
      <c r="L762" s="76">
        <f>ROUND(E762*F762,2)</f>
        <v>43.86</v>
      </c>
      <c r="M762" s="76">
        <f t="shared" si="265"/>
        <v>0</v>
      </c>
      <c r="N762" s="76">
        <f t="shared" si="266"/>
        <v>0</v>
      </c>
      <c r="O762" s="76">
        <f t="shared" si="267"/>
        <v>55.96</v>
      </c>
      <c r="P762" s="76"/>
      <c r="Q762" s="51"/>
      <c r="T762" s="53">
        <v>21.93</v>
      </c>
    </row>
    <row r="763" spans="1:20" s="56" customFormat="1" ht="12" x14ac:dyDescent="0.2">
      <c r="A763" s="72"/>
      <c r="B763" s="70" t="s">
        <v>1195</v>
      </c>
      <c r="C763" s="71" t="s">
        <v>1196</v>
      </c>
      <c r="D763" s="72"/>
      <c r="E763" s="72"/>
      <c r="F763" s="75"/>
      <c r="G763" s="72"/>
      <c r="H763" s="72"/>
      <c r="I763" s="72"/>
      <c r="J763" s="72"/>
      <c r="K763" s="75"/>
      <c r="L763" s="72"/>
      <c r="M763" s="76">
        <f t="shared" si="265"/>
        <v>0</v>
      </c>
      <c r="N763" s="76">
        <f t="shared" si="266"/>
        <v>0</v>
      </c>
      <c r="O763" s="76">
        <f t="shared" si="267"/>
        <v>0</v>
      </c>
      <c r="P763" s="72"/>
      <c r="Q763" s="52"/>
      <c r="T763" s="52"/>
    </row>
    <row r="764" spans="1:20" s="56" customFormat="1" ht="12" x14ac:dyDescent="0.2">
      <c r="A764" s="72"/>
      <c r="B764" s="81">
        <v>45323</v>
      </c>
      <c r="C764" s="71" t="s">
        <v>1197</v>
      </c>
      <c r="D764" s="72"/>
      <c r="E764" s="72"/>
      <c r="F764" s="75"/>
      <c r="G764" s="72"/>
      <c r="H764" s="72"/>
      <c r="I764" s="72"/>
      <c r="J764" s="72"/>
      <c r="K764" s="75"/>
      <c r="L764" s="72"/>
      <c r="M764" s="76">
        <f t="shared" si="265"/>
        <v>0</v>
      </c>
      <c r="N764" s="76">
        <f t="shared" si="266"/>
        <v>0</v>
      </c>
      <c r="O764" s="76">
        <f t="shared" si="267"/>
        <v>0</v>
      </c>
      <c r="P764" s="72"/>
      <c r="Q764" s="52"/>
      <c r="T764" s="52"/>
    </row>
    <row r="765" spans="1:20" s="56" customFormat="1" ht="12" x14ac:dyDescent="0.2">
      <c r="A765" s="73" t="s">
        <v>308</v>
      </c>
      <c r="B765" s="73" t="s">
        <v>1198</v>
      </c>
      <c r="C765" s="74" t="s">
        <v>1199</v>
      </c>
      <c r="D765" s="73" t="s">
        <v>102</v>
      </c>
      <c r="E765" s="75">
        <v>2</v>
      </c>
      <c r="F765" s="75">
        <f>ROUND(T765*$T$10,2)</f>
        <v>14.99</v>
      </c>
      <c r="G765" s="75">
        <f>ROUND(F765*(1+$U$1),2)</f>
        <v>19.13</v>
      </c>
      <c r="H765" s="76">
        <f>ROUND(E765*G765,2)</f>
        <v>38.26</v>
      </c>
      <c r="I765" s="75"/>
      <c r="J765" s="75"/>
      <c r="K765" s="75">
        <f>E765-I765</f>
        <v>2</v>
      </c>
      <c r="L765" s="76">
        <f>ROUND(E765*F765,2)</f>
        <v>29.98</v>
      </c>
      <c r="M765" s="76">
        <f t="shared" si="265"/>
        <v>0</v>
      </c>
      <c r="N765" s="76">
        <f t="shared" si="266"/>
        <v>0</v>
      </c>
      <c r="O765" s="76">
        <f t="shared" si="267"/>
        <v>38.26</v>
      </c>
      <c r="P765" s="76"/>
      <c r="Q765" s="51"/>
      <c r="T765" s="53">
        <v>14.99</v>
      </c>
    </row>
    <row r="766" spans="1:20" s="56" customFormat="1" ht="12" x14ac:dyDescent="0.2">
      <c r="A766" s="72"/>
      <c r="B766" s="81">
        <v>45324</v>
      </c>
      <c r="C766" s="71" t="s">
        <v>1200</v>
      </c>
      <c r="D766" s="72"/>
      <c r="E766" s="72"/>
      <c r="F766" s="75"/>
      <c r="G766" s="72"/>
      <c r="H766" s="72"/>
      <c r="I766" s="72"/>
      <c r="J766" s="72"/>
      <c r="K766" s="75"/>
      <c r="L766" s="72"/>
      <c r="M766" s="76">
        <f t="shared" si="265"/>
        <v>0</v>
      </c>
      <c r="N766" s="76">
        <f t="shared" si="266"/>
        <v>0</v>
      </c>
      <c r="O766" s="76">
        <f t="shared" si="267"/>
        <v>0</v>
      </c>
      <c r="P766" s="72"/>
      <c r="Q766" s="52"/>
      <c r="T766" s="52"/>
    </row>
    <row r="767" spans="1:20" s="56" customFormat="1" ht="12" x14ac:dyDescent="0.2">
      <c r="A767" s="73" t="s">
        <v>308</v>
      </c>
      <c r="B767" s="73" t="s">
        <v>1201</v>
      </c>
      <c r="C767" s="74" t="s">
        <v>1202</v>
      </c>
      <c r="D767" s="73" t="s">
        <v>102</v>
      </c>
      <c r="E767" s="75">
        <v>1</v>
      </c>
      <c r="F767" s="75">
        <f>ROUND(T767*$T$10,2)</f>
        <v>180</v>
      </c>
      <c r="G767" s="75">
        <f>ROUND(F767*(1+$U$1),2)</f>
        <v>229.66</v>
      </c>
      <c r="H767" s="76">
        <f>ROUND(E767*G767,2)</f>
        <v>229.66</v>
      </c>
      <c r="I767" s="75"/>
      <c r="J767" s="75"/>
      <c r="K767" s="75">
        <f>E767-I767</f>
        <v>1</v>
      </c>
      <c r="L767" s="76">
        <f>ROUND(E767*F767,2)</f>
        <v>180</v>
      </c>
      <c r="M767" s="76">
        <f t="shared" si="265"/>
        <v>0</v>
      </c>
      <c r="N767" s="76">
        <f t="shared" si="266"/>
        <v>0</v>
      </c>
      <c r="O767" s="76">
        <f t="shared" si="267"/>
        <v>229.66</v>
      </c>
      <c r="P767" s="76"/>
      <c r="Q767" s="51"/>
      <c r="T767" s="53">
        <v>180</v>
      </c>
    </row>
    <row r="768" spans="1:20" s="56" customFormat="1" ht="12" x14ac:dyDescent="0.2">
      <c r="A768" s="73" t="s">
        <v>308</v>
      </c>
      <c r="B768" s="73" t="s">
        <v>1203</v>
      </c>
      <c r="C768" s="74" t="s">
        <v>1204</v>
      </c>
      <c r="D768" s="73" t="s">
        <v>102</v>
      </c>
      <c r="E768" s="75">
        <v>2</v>
      </c>
      <c r="F768" s="75">
        <f>ROUND(T768*$T$10,2)</f>
        <v>49.9</v>
      </c>
      <c r="G768" s="75">
        <f>ROUND(F768*(1+$U$1),2)</f>
        <v>63.67</v>
      </c>
      <c r="H768" s="76">
        <f>ROUND(E768*G768,2)</f>
        <v>127.34</v>
      </c>
      <c r="I768" s="75"/>
      <c r="J768" s="75"/>
      <c r="K768" s="75">
        <f>E768-I768</f>
        <v>2</v>
      </c>
      <c r="L768" s="76">
        <f>ROUND(E768*F768,2)</f>
        <v>99.8</v>
      </c>
      <c r="M768" s="76">
        <f t="shared" si="265"/>
        <v>0</v>
      </c>
      <c r="N768" s="76">
        <f t="shared" si="266"/>
        <v>0</v>
      </c>
      <c r="O768" s="76">
        <f t="shared" si="267"/>
        <v>127.34</v>
      </c>
      <c r="P768" s="76"/>
      <c r="Q768" s="51"/>
      <c r="T768" s="53">
        <v>49.9</v>
      </c>
    </row>
    <row r="769" spans="1:20" s="56" customFormat="1" ht="12" x14ac:dyDescent="0.2">
      <c r="A769" s="72"/>
      <c r="B769" s="81">
        <v>45325</v>
      </c>
      <c r="C769" s="71" t="s">
        <v>1205</v>
      </c>
      <c r="D769" s="72"/>
      <c r="E769" s="72"/>
      <c r="F769" s="75"/>
      <c r="G769" s="72"/>
      <c r="H769" s="72"/>
      <c r="I769" s="72"/>
      <c r="J769" s="72"/>
      <c r="K769" s="75">
        <f>E769-I769</f>
        <v>0</v>
      </c>
      <c r="L769" s="72"/>
      <c r="M769" s="76">
        <f t="shared" si="265"/>
        <v>0</v>
      </c>
      <c r="N769" s="76">
        <f t="shared" si="266"/>
        <v>0</v>
      </c>
      <c r="O769" s="76">
        <f t="shared" si="267"/>
        <v>0</v>
      </c>
      <c r="P769" s="72"/>
      <c r="Q769" s="52"/>
      <c r="T769" s="52"/>
    </row>
    <row r="770" spans="1:20" s="56" customFormat="1" ht="12" x14ac:dyDescent="0.2">
      <c r="A770" s="73" t="s">
        <v>308</v>
      </c>
      <c r="B770" s="73" t="s">
        <v>1206</v>
      </c>
      <c r="C770" s="74" t="s">
        <v>1207</v>
      </c>
      <c r="D770" s="73" t="s">
        <v>102</v>
      </c>
      <c r="E770" s="75">
        <v>2</v>
      </c>
      <c r="F770" s="75">
        <f>ROUND(T770*$T$10,2)</f>
        <v>49</v>
      </c>
      <c r="G770" s="75">
        <f>ROUND(F770*(1+$U$1),2)</f>
        <v>62.52</v>
      </c>
      <c r="H770" s="76">
        <f>ROUND(E770*G770,2)</f>
        <v>125.04</v>
      </c>
      <c r="I770" s="75"/>
      <c r="J770" s="75"/>
      <c r="K770" s="75">
        <f>E770-I770</f>
        <v>2</v>
      </c>
      <c r="L770" s="76">
        <f>ROUND(E770*F770,2)</f>
        <v>98</v>
      </c>
      <c r="M770" s="76">
        <f t="shared" si="265"/>
        <v>0</v>
      </c>
      <c r="N770" s="76">
        <f t="shared" si="266"/>
        <v>0</v>
      </c>
      <c r="O770" s="76">
        <f t="shared" si="267"/>
        <v>125.04</v>
      </c>
      <c r="P770" s="76"/>
      <c r="Q770" s="51"/>
      <c r="T770" s="53">
        <v>49</v>
      </c>
    </row>
    <row r="771" spans="1:20" s="56" customFormat="1" ht="12" x14ac:dyDescent="0.2">
      <c r="A771" s="72"/>
      <c r="B771" s="81">
        <v>45325</v>
      </c>
      <c r="C771" s="71" t="s">
        <v>1208</v>
      </c>
      <c r="D771" s="72"/>
      <c r="E771" s="72"/>
      <c r="F771" s="75"/>
      <c r="G771" s="72"/>
      <c r="H771" s="72"/>
      <c r="I771" s="72"/>
      <c r="J771" s="72"/>
      <c r="K771" s="75"/>
      <c r="L771" s="72"/>
      <c r="M771" s="76">
        <f t="shared" si="265"/>
        <v>0</v>
      </c>
      <c r="N771" s="76">
        <f t="shared" si="266"/>
        <v>0</v>
      </c>
      <c r="O771" s="76">
        <f t="shared" si="267"/>
        <v>0</v>
      </c>
      <c r="P771" s="72"/>
      <c r="Q771" s="52"/>
      <c r="T771" s="52"/>
    </row>
    <row r="772" spans="1:20" s="56" customFormat="1" ht="24" x14ac:dyDescent="0.2">
      <c r="A772" s="73" t="s">
        <v>308</v>
      </c>
      <c r="B772" s="73" t="s">
        <v>1206</v>
      </c>
      <c r="C772" s="74" t="s">
        <v>1209</v>
      </c>
      <c r="D772" s="73" t="s">
        <v>102</v>
      </c>
      <c r="E772" s="75">
        <v>1</v>
      </c>
      <c r="F772" s="75">
        <f>ROUND(T772*$T$10,2)</f>
        <v>26.89</v>
      </c>
      <c r="G772" s="75">
        <f>ROUND(F772*(1+$U$1),2)</f>
        <v>34.31</v>
      </c>
      <c r="H772" s="76">
        <f>ROUND(E772*G772,2)</f>
        <v>34.31</v>
      </c>
      <c r="I772" s="75"/>
      <c r="J772" s="75"/>
      <c r="K772" s="75">
        <f>E772-I772</f>
        <v>1</v>
      </c>
      <c r="L772" s="76">
        <f>ROUND(E772*F772,2)</f>
        <v>26.89</v>
      </c>
      <c r="M772" s="76">
        <f t="shared" si="265"/>
        <v>0</v>
      </c>
      <c r="N772" s="76">
        <f t="shared" si="266"/>
        <v>0</v>
      </c>
      <c r="O772" s="76">
        <f t="shared" si="267"/>
        <v>34.31</v>
      </c>
      <c r="P772" s="76"/>
      <c r="Q772" s="51"/>
      <c r="T772" s="53">
        <v>26.89</v>
      </c>
    </row>
    <row r="773" spans="1:20" s="56" customFormat="1" ht="12" x14ac:dyDescent="0.2">
      <c r="A773" s="72"/>
      <c r="B773" s="81">
        <v>45326</v>
      </c>
      <c r="C773" s="71" t="s">
        <v>1210</v>
      </c>
      <c r="D773" s="72"/>
      <c r="E773" s="72"/>
      <c r="F773" s="75"/>
      <c r="G773" s="72"/>
      <c r="H773" s="72"/>
      <c r="I773" s="72"/>
      <c r="J773" s="72"/>
      <c r="K773" s="75"/>
      <c r="L773" s="72"/>
      <c r="M773" s="76">
        <f t="shared" si="265"/>
        <v>0</v>
      </c>
      <c r="N773" s="76">
        <f t="shared" si="266"/>
        <v>0</v>
      </c>
      <c r="O773" s="76">
        <f t="shared" si="267"/>
        <v>0</v>
      </c>
      <c r="P773" s="72"/>
      <c r="Q773" s="52"/>
      <c r="T773" s="52"/>
    </row>
    <row r="774" spans="1:20" s="56" customFormat="1" ht="12" x14ac:dyDescent="0.2">
      <c r="A774" s="73" t="s">
        <v>308</v>
      </c>
      <c r="B774" s="73" t="s">
        <v>1211</v>
      </c>
      <c r="C774" s="74" t="s">
        <v>1212</v>
      </c>
      <c r="D774" s="73" t="s">
        <v>102</v>
      </c>
      <c r="E774" s="75">
        <v>6</v>
      </c>
      <c r="F774" s="75">
        <f>ROUND(T774*$T$10,2)</f>
        <v>0.17</v>
      </c>
      <c r="G774" s="75">
        <f>ROUND(F774*(1+$U$1),2)</f>
        <v>0.22</v>
      </c>
      <c r="H774" s="76">
        <f>ROUND(E774*G774,2)</f>
        <v>1.32</v>
      </c>
      <c r="I774" s="75"/>
      <c r="J774" s="75"/>
      <c r="K774" s="75">
        <f>E774-I774</f>
        <v>6</v>
      </c>
      <c r="L774" s="76">
        <f>ROUND(E774*F774,2)</f>
        <v>1.02</v>
      </c>
      <c r="M774" s="76">
        <f t="shared" si="265"/>
        <v>0</v>
      </c>
      <c r="N774" s="76">
        <f t="shared" si="266"/>
        <v>0</v>
      </c>
      <c r="O774" s="76">
        <f t="shared" si="267"/>
        <v>1.32</v>
      </c>
      <c r="P774" s="76"/>
      <c r="Q774" s="51"/>
      <c r="T774" s="53">
        <v>0.17</v>
      </c>
    </row>
    <row r="775" spans="1:20" s="56" customFormat="1" ht="12" x14ac:dyDescent="0.2">
      <c r="A775" s="72"/>
      <c r="B775" s="71"/>
      <c r="C775" s="71"/>
      <c r="D775" s="71"/>
      <c r="E775" s="71"/>
      <c r="F775" s="75"/>
      <c r="G775" s="77" t="s">
        <v>1213</v>
      </c>
      <c r="H775" s="78">
        <f>SUM(H741:H774)</f>
        <v>3391.0899999999997</v>
      </c>
      <c r="I775" s="71"/>
      <c r="J775" s="71"/>
      <c r="K775" s="75"/>
      <c r="L775" s="78">
        <f>SUM(L741:L774)</f>
        <v>2657.8</v>
      </c>
      <c r="M775" s="78">
        <f>SUM(M741:M774)</f>
        <v>0</v>
      </c>
      <c r="N775" s="78">
        <f>SUM(N741:N774)</f>
        <v>0</v>
      </c>
      <c r="O775" s="78">
        <f>SUM(O741:O774)</f>
        <v>3391.0899999999997</v>
      </c>
      <c r="P775" s="78"/>
      <c r="Q775" s="60"/>
      <c r="T775" s="59"/>
    </row>
    <row r="776" spans="1:20" s="56" customFormat="1" ht="12" x14ac:dyDescent="0.2">
      <c r="A776" s="72"/>
      <c r="B776" s="70" t="s">
        <v>1214</v>
      </c>
      <c r="C776" s="71" t="s">
        <v>1215</v>
      </c>
      <c r="D776" s="72"/>
      <c r="E776" s="72"/>
      <c r="F776" s="75"/>
      <c r="G776" s="72"/>
      <c r="H776" s="72"/>
      <c r="I776" s="72"/>
      <c r="J776" s="72"/>
      <c r="K776" s="75"/>
      <c r="L776" s="72"/>
      <c r="M776" s="72"/>
      <c r="N776" s="72"/>
      <c r="O776" s="72"/>
      <c r="P776" s="72"/>
      <c r="Q776" s="52"/>
      <c r="T776" s="52"/>
    </row>
    <row r="777" spans="1:20" s="56" customFormat="1" ht="12" x14ac:dyDescent="0.2">
      <c r="A777" s="72"/>
      <c r="B777" s="70" t="s">
        <v>1216</v>
      </c>
      <c r="C777" s="71" t="s">
        <v>1196</v>
      </c>
      <c r="D777" s="71"/>
      <c r="E777" s="71"/>
      <c r="F777" s="75"/>
      <c r="G777" s="71"/>
      <c r="H777" s="72"/>
      <c r="I777" s="71"/>
      <c r="J777" s="71"/>
      <c r="K777" s="75"/>
      <c r="L777" s="71"/>
      <c r="M777" s="72"/>
      <c r="N777" s="72"/>
      <c r="O777" s="72"/>
      <c r="P777" s="72"/>
      <c r="Q777" s="52"/>
      <c r="T777" s="59"/>
    </row>
    <row r="778" spans="1:20" s="56" customFormat="1" ht="12" x14ac:dyDescent="0.2">
      <c r="A778" s="73" t="s">
        <v>78</v>
      </c>
      <c r="B778" s="80">
        <v>45658</v>
      </c>
      <c r="C778" s="74" t="s">
        <v>1217</v>
      </c>
      <c r="D778" s="73" t="s">
        <v>102</v>
      </c>
      <c r="E778" s="75">
        <v>8</v>
      </c>
      <c r="F778" s="75">
        <f t="shared" ref="F778:F790" si="268">ROUND(T778*$T$10,2)</f>
        <v>95.52</v>
      </c>
      <c r="G778" s="75">
        <f t="shared" ref="G778:G790" si="269">ROUND(F778*(1+$U$1),2)</f>
        <v>121.87</v>
      </c>
      <c r="H778" s="76">
        <f t="shared" ref="H778:H790" si="270">ROUND(E778*G778,2)</f>
        <v>974.96</v>
      </c>
      <c r="I778" s="75"/>
      <c r="J778" s="75"/>
      <c r="K778" s="75">
        <f t="shared" ref="K778:K790" si="271">E778-I778</f>
        <v>8</v>
      </c>
      <c r="L778" s="76">
        <f t="shared" ref="L778:L790" si="272">ROUND(E778*F778,2)</f>
        <v>764.16</v>
      </c>
      <c r="M778" s="76">
        <f t="shared" ref="M778:M790" si="273">I778*G778</f>
        <v>0</v>
      </c>
      <c r="N778" s="76">
        <f t="shared" ref="N778:N790" si="274">J778*G778</f>
        <v>0</v>
      </c>
      <c r="O778" s="76">
        <f t="shared" ref="O778:O790" si="275">H778-N778</f>
        <v>974.96</v>
      </c>
      <c r="P778" s="76"/>
      <c r="Q778" s="51"/>
      <c r="T778" s="53">
        <v>95.52</v>
      </c>
    </row>
    <row r="779" spans="1:20" s="56" customFormat="1" ht="12" x14ac:dyDescent="0.2">
      <c r="A779" s="73" t="s">
        <v>308</v>
      </c>
      <c r="B779" s="80">
        <v>45659</v>
      </c>
      <c r="C779" s="74" t="s">
        <v>1218</v>
      </c>
      <c r="D779" s="73" t="s">
        <v>102</v>
      </c>
      <c r="E779" s="75">
        <v>8</v>
      </c>
      <c r="F779" s="75">
        <f t="shared" si="268"/>
        <v>9.93</v>
      </c>
      <c r="G779" s="75">
        <f t="shared" si="269"/>
        <v>12.67</v>
      </c>
      <c r="H779" s="76">
        <f t="shared" si="270"/>
        <v>101.36</v>
      </c>
      <c r="I779" s="75"/>
      <c r="J779" s="75"/>
      <c r="K779" s="75">
        <f t="shared" si="271"/>
        <v>8</v>
      </c>
      <c r="L779" s="76">
        <f t="shared" si="272"/>
        <v>79.44</v>
      </c>
      <c r="M779" s="76">
        <f t="shared" si="273"/>
        <v>0</v>
      </c>
      <c r="N779" s="76">
        <f t="shared" si="274"/>
        <v>0</v>
      </c>
      <c r="O779" s="76">
        <f t="shared" si="275"/>
        <v>101.36</v>
      </c>
      <c r="P779" s="76"/>
      <c r="Q779" s="51"/>
      <c r="T779" s="53">
        <v>9.93</v>
      </c>
    </row>
    <row r="780" spans="1:20" s="56" customFormat="1" ht="24" x14ac:dyDescent="0.2">
      <c r="A780" s="73" t="s">
        <v>308</v>
      </c>
      <c r="B780" s="80">
        <v>45660</v>
      </c>
      <c r="C780" s="74" t="s">
        <v>1219</v>
      </c>
      <c r="D780" s="73" t="s">
        <v>102</v>
      </c>
      <c r="E780" s="75">
        <v>2</v>
      </c>
      <c r="F780" s="75">
        <f t="shared" si="268"/>
        <v>12.71</v>
      </c>
      <c r="G780" s="75">
        <f t="shared" si="269"/>
        <v>16.22</v>
      </c>
      <c r="H780" s="76">
        <f t="shared" si="270"/>
        <v>32.44</v>
      </c>
      <c r="I780" s="75"/>
      <c r="J780" s="75"/>
      <c r="K780" s="75">
        <f t="shared" si="271"/>
        <v>2</v>
      </c>
      <c r="L780" s="76">
        <f t="shared" si="272"/>
        <v>25.42</v>
      </c>
      <c r="M780" s="76">
        <f t="shared" si="273"/>
        <v>0</v>
      </c>
      <c r="N780" s="76">
        <f t="shared" si="274"/>
        <v>0</v>
      </c>
      <c r="O780" s="76">
        <f t="shared" si="275"/>
        <v>32.44</v>
      </c>
      <c r="P780" s="76"/>
      <c r="Q780" s="51"/>
      <c r="T780" s="53">
        <v>12.71</v>
      </c>
    </row>
    <row r="781" spans="1:20" s="56" customFormat="1" ht="24" x14ac:dyDescent="0.2">
      <c r="A781" s="73" t="s">
        <v>308</v>
      </c>
      <c r="B781" s="80">
        <v>45661</v>
      </c>
      <c r="C781" s="74" t="s">
        <v>1220</v>
      </c>
      <c r="D781" s="73" t="s">
        <v>102</v>
      </c>
      <c r="E781" s="75">
        <v>5</v>
      </c>
      <c r="F781" s="75">
        <f t="shared" si="268"/>
        <v>150</v>
      </c>
      <c r="G781" s="75">
        <f t="shared" si="269"/>
        <v>191.39</v>
      </c>
      <c r="H781" s="76">
        <f t="shared" si="270"/>
        <v>956.95</v>
      </c>
      <c r="I781" s="75"/>
      <c r="J781" s="75"/>
      <c r="K781" s="75">
        <f t="shared" si="271"/>
        <v>5</v>
      </c>
      <c r="L781" s="76">
        <f t="shared" si="272"/>
        <v>750</v>
      </c>
      <c r="M781" s="76">
        <f t="shared" si="273"/>
        <v>0</v>
      </c>
      <c r="N781" s="76">
        <f t="shared" si="274"/>
        <v>0</v>
      </c>
      <c r="O781" s="76">
        <f t="shared" si="275"/>
        <v>956.95</v>
      </c>
      <c r="P781" s="76"/>
      <c r="Q781" s="51"/>
      <c r="T781" s="53">
        <v>150</v>
      </c>
    </row>
    <row r="782" spans="1:20" s="56" customFormat="1" ht="24" x14ac:dyDescent="0.2">
      <c r="A782" s="73" t="s">
        <v>308</v>
      </c>
      <c r="B782" s="80">
        <v>45662</v>
      </c>
      <c r="C782" s="74" t="s">
        <v>1221</v>
      </c>
      <c r="D782" s="73" t="s">
        <v>102</v>
      </c>
      <c r="E782" s="75">
        <v>38</v>
      </c>
      <c r="F782" s="75">
        <f t="shared" si="268"/>
        <v>59.9</v>
      </c>
      <c r="G782" s="75">
        <f t="shared" si="269"/>
        <v>76.430000000000007</v>
      </c>
      <c r="H782" s="76">
        <f t="shared" si="270"/>
        <v>2904.34</v>
      </c>
      <c r="I782" s="75"/>
      <c r="J782" s="75"/>
      <c r="K782" s="75">
        <f t="shared" si="271"/>
        <v>38</v>
      </c>
      <c r="L782" s="76">
        <f t="shared" si="272"/>
        <v>2276.1999999999998</v>
      </c>
      <c r="M782" s="76">
        <f t="shared" si="273"/>
        <v>0</v>
      </c>
      <c r="N782" s="76">
        <f t="shared" si="274"/>
        <v>0</v>
      </c>
      <c r="O782" s="76">
        <f t="shared" si="275"/>
        <v>2904.34</v>
      </c>
      <c r="P782" s="76"/>
      <c r="Q782" s="51"/>
      <c r="T782" s="53">
        <v>59.9</v>
      </c>
    </row>
    <row r="783" spans="1:20" s="56" customFormat="1" ht="24" x14ac:dyDescent="0.2">
      <c r="A783" s="73" t="s">
        <v>308</v>
      </c>
      <c r="B783" s="80">
        <v>45663</v>
      </c>
      <c r="C783" s="74" t="s">
        <v>1222</v>
      </c>
      <c r="D783" s="73" t="s">
        <v>102</v>
      </c>
      <c r="E783" s="75">
        <v>2</v>
      </c>
      <c r="F783" s="75">
        <f t="shared" si="268"/>
        <v>219</v>
      </c>
      <c r="G783" s="75">
        <f t="shared" si="269"/>
        <v>279.42</v>
      </c>
      <c r="H783" s="76">
        <f t="shared" si="270"/>
        <v>558.84</v>
      </c>
      <c r="I783" s="75"/>
      <c r="J783" s="75"/>
      <c r="K783" s="75">
        <f t="shared" si="271"/>
        <v>2</v>
      </c>
      <c r="L783" s="76">
        <f t="shared" si="272"/>
        <v>438</v>
      </c>
      <c r="M783" s="76">
        <f t="shared" si="273"/>
        <v>0</v>
      </c>
      <c r="N783" s="76">
        <f t="shared" si="274"/>
        <v>0</v>
      </c>
      <c r="O783" s="76">
        <f t="shared" si="275"/>
        <v>558.84</v>
      </c>
      <c r="P783" s="76"/>
      <c r="Q783" s="51"/>
      <c r="T783" s="53">
        <v>219</v>
      </c>
    </row>
    <row r="784" spans="1:20" s="56" customFormat="1" ht="12" x14ac:dyDescent="0.2">
      <c r="A784" s="73" t="s">
        <v>308</v>
      </c>
      <c r="B784" s="80">
        <v>45664</v>
      </c>
      <c r="C784" s="74" t="s">
        <v>1223</v>
      </c>
      <c r="D784" s="73" t="s">
        <v>102</v>
      </c>
      <c r="E784" s="75">
        <v>9</v>
      </c>
      <c r="F784" s="75">
        <f t="shared" si="268"/>
        <v>19.3</v>
      </c>
      <c r="G784" s="75">
        <f t="shared" si="269"/>
        <v>24.62</v>
      </c>
      <c r="H784" s="76">
        <f t="shared" si="270"/>
        <v>221.58</v>
      </c>
      <c r="I784" s="75"/>
      <c r="J784" s="75"/>
      <c r="K784" s="75">
        <f t="shared" si="271"/>
        <v>9</v>
      </c>
      <c r="L784" s="76">
        <f t="shared" si="272"/>
        <v>173.7</v>
      </c>
      <c r="M784" s="76">
        <f t="shared" si="273"/>
        <v>0</v>
      </c>
      <c r="N784" s="76">
        <f t="shared" si="274"/>
        <v>0</v>
      </c>
      <c r="O784" s="76">
        <f t="shared" si="275"/>
        <v>221.58</v>
      </c>
      <c r="P784" s="76"/>
      <c r="Q784" s="51"/>
      <c r="T784" s="53">
        <v>19.3</v>
      </c>
    </row>
    <row r="785" spans="1:20" s="56" customFormat="1" ht="12" x14ac:dyDescent="0.2">
      <c r="A785" s="73" t="s">
        <v>308</v>
      </c>
      <c r="B785" s="80">
        <v>45665</v>
      </c>
      <c r="C785" s="74" t="s">
        <v>1224</v>
      </c>
      <c r="D785" s="73" t="s">
        <v>102</v>
      </c>
      <c r="E785" s="75">
        <v>8</v>
      </c>
      <c r="F785" s="75">
        <f t="shared" si="268"/>
        <v>19.3</v>
      </c>
      <c r="G785" s="75">
        <f t="shared" si="269"/>
        <v>24.62</v>
      </c>
      <c r="H785" s="76">
        <f t="shared" si="270"/>
        <v>196.96</v>
      </c>
      <c r="I785" s="75"/>
      <c r="J785" s="75"/>
      <c r="K785" s="75">
        <f t="shared" si="271"/>
        <v>8</v>
      </c>
      <c r="L785" s="76">
        <f t="shared" si="272"/>
        <v>154.4</v>
      </c>
      <c r="M785" s="76">
        <f t="shared" si="273"/>
        <v>0</v>
      </c>
      <c r="N785" s="76">
        <f t="shared" si="274"/>
        <v>0</v>
      </c>
      <c r="O785" s="76">
        <f t="shared" si="275"/>
        <v>196.96</v>
      </c>
      <c r="P785" s="76"/>
      <c r="Q785" s="51"/>
      <c r="T785" s="53">
        <v>19.3</v>
      </c>
    </row>
    <row r="786" spans="1:20" s="56" customFormat="1" ht="12" x14ac:dyDescent="0.2">
      <c r="A786" s="73" t="s">
        <v>308</v>
      </c>
      <c r="B786" s="80">
        <v>45666</v>
      </c>
      <c r="C786" s="74" t="s">
        <v>1225</v>
      </c>
      <c r="D786" s="73" t="s">
        <v>102</v>
      </c>
      <c r="E786" s="75">
        <v>8</v>
      </c>
      <c r="F786" s="75">
        <f t="shared" si="268"/>
        <v>9.9</v>
      </c>
      <c r="G786" s="75">
        <f t="shared" si="269"/>
        <v>12.63</v>
      </c>
      <c r="H786" s="76">
        <f t="shared" si="270"/>
        <v>101.04</v>
      </c>
      <c r="I786" s="75"/>
      <c r="J786" s="75"/>
      <c r="K786" s="75">
        <f t="shared" si="271"/>
        <v>8</v>
      </c>
      <c r="L786" s="76">
        <f t="shared" si="272"/>
        <v>79.2</v>
      </c>
      <c r="M786" s="76">
        <f t="shared" si="273"/>
        <v>0</v>
      </c>
      <c r="N786" s="76">
        <f t="shared" si="274"/>
        <v>0</v>
      </c>
      <c r="O786" s="76">
        <f t="shared" si="275"/>
        <v>101.04</v>
      </c>
      <c r="P786" s="76"/>
      <c r="Q786" s="51"/>
      <c r="T786" s="53">
        <v>9.9</v>
      </c>
    </row>
    <row r="787" spans="1:20" s="56" customFormat="1" ht="12" x14ac:dyDescent="0.2">
      <c r="A787" s="73" t="s">
        <v>308</v>
      </c>
      <c r="B787" s="87">
        <v>40203</v>
      </c>
      <c r="C787" s="74" t="s">
        <v>1226</v>
      </c>
      <c r="D787" s="73" t="s">
        <v>102</v>
      </c>
      <c r="E787" s="75">
        <v>1</v>
      </c>
      <c r="F787" s="75">
        <f t="shared" si="268"/>
        <v>11.57</v>
      </c>
      <c r="G787" s="75">
        <f t="shared" si="269"/>
        <v>14.76</v>
      </c>
      <c r="H787" s="76">
        <f t="shared" si="270"/>
        <v>14.76</v>
      </c>
      <c r="I787" s="75"/>
      <c r="J787" s="75"/>
      <c r="K787" s="75">
        <f t="shared" si="271"/>
        <v>1</v>
      </c>
      <c r="L787" s="76">
        <f t="shared" si="272"/>
        <v>11.57</v>
      </c>
      <c r="M787" s="76">
        <f t="shared" si="273"/>
        <v>0</v>
      </c>
      <c r="N787" s="76">
        <f t="shared" si="274"/>
        <v>0</v>
      </c>
      <c r="O787" s="76">
        <f t="shared" si="275"/>
        <v>14.76</v>
      </c>
      <c r="P787" s="76"/>
      <c r="Q787" s="51"/>
      <c r="T787" s="53">
        <v>11.57</v>
      </c>
    </row>
    <row r="788" spans="1:20" s="56" customFormat="1" ht="12" x14ac:dyDescent="0.2">
      <c r="A788" s="94">
        <v>38061</v>
      </c>
      <c r="B788" s="87">
        <v>40568</v>
      </c>
      <c r="C788" s="74" t="s">
        <v>1227</v>
      </c>
      <c r="D788" s="73" t="s">
        <v>102</v>
      </c>
      <c r="E788" s="75">
        <v>1</v>
      </c>
      <c r="F788" s="75">
        <f t="shared" si="268"/>
        <v>39.15</v>
      </c>
      <c r="G788" s="75">
        <f t="shared" si="269"/>
        <v>49.95</v>
      </c>
      <c r="H788" s="76">
        <f t="shared" si="270"/>
        <v>49.95</v>
      </c>
      <c r="I788" s="75"/>
      <c r="J788" s="75"/>
      <c r="K788" s="75">
        <f t="shared" si="271"/>
        <v>1</v>
      </c>
      <c r="L788" s="76">
        <f t="shared" si="272"/>
        <v>39.15</v>
      </c>
      <c r="M788" s="76">
        <f t="shared" si="273"/>
        <v>0</v>
      </c>
      <c r="N788" s="76">
        <f t="shared" si="274"/>
        <v>0</v>
      </c>
      <c r="O788" s="76">
        <f t="shared" si="275"/>
        <v>49.95</v>
      </c>
      <c r="P788" s="76"/>
      <c r="Q788" s="51"/>
      <c r="T788" s="53">
        <v>39.15</v>
      </c>
    </row>
    <row r="789" spans="1:20" s="56" customFormat="1" ht="12" x14ac:dyDescent="0.2">
      <c r="A789" s="94">
        <v>38061</v>
      </c>
      <c r="B789" s="87">
        <v>40933</v>
      </c>
      <c r="C789" s="74" t="s">
        <v>1228</v>
      </c>
      <c r="D789" s="73" t="s">
        <v>102</v>
      </c>
      <c r="E789" s="75">
        <v>1</v>
      </c>
      <c r="F789" s="75">
        <f t="shared" si="268"/>
        <v>39.15</v>
      </c>
      <c r="G789" s="75">
        <f t="shared" si="269"/>
        <v>49.95</v>
      </c>
      <c r="H789" s="76">
        <f t="shared" si="270"/>
        <v>49.95</v>
      </c>
      <c r="I789" s="75"/>
      <c r="J789" s="75"/>
      <c r="K789" s="75">
        <f t="shared" si="271"/>
        <v>1</v>
      </c>
      <c r="L789" s="76">
        <f t="shared" si="272"/>
        <v>39.15</v>
      </c>
      <c r="M789" s="76">
        <f t="shared" si="273"/>
        <v>0</v>
      </c>
      <c r="N789" s="76">
        <f t="shared" si="274"/>
        <v>0</v>
      </c>
      <c r="O789" s="76">
        <f t="shared" si="275"/>
        <v>49.95</v>
      </c>
      <c r="P789" s="76"/>
      <c r="Q789" s="51"/>
      <c r="T789" s="53">
        <v>39.15</v>
      </c>
    </row>
    <row r="790" spans="1:20" s="56" customFormat="1" ht="24" x14ac:dyDescent="0.2">
      <c r="A790" s="94">
        <v>38061</v>
      </c>
      <c r="B790" s="87">
        <v>41299</v>
      </c>
      <c r="C790" s="74" t="s">
        <v>1229</v>
      </c>
      <c r="D790" s="73" t="s">
        <v>102</v>
      </c>
      <c r="E790" s="75">
        <v>8</v>
      </c>
      <c r="F790" s="75">
        <f t="shared" si="268"/>
        <v>39.15</v>
      </c>
      <c r="G790" s="75">
        <f t="shared" si="269"/>
        <v>49.95</v>
      </c>
      <c r="H790" s="76">
        <f t="shared" si="270"/>
        <v>399.6</v>
      </c>
      <c r="I790" s="75"/>
      <c r="J790" s="75"/>
      <c r="K790" s="75">
        <f t="shared" si="271"/>
        <v>8</v>
      </c>
      <c r="L790" s="76">
        <f t="shared" si="272"/>
        <v>313.2</v>
      </c>
      <c r="M790" s="76">
        <f t="shared" si="273"/>
        <v>0</v>
      </c>
      <c r="N790" s="76">
        <f t="shared" si="274"/>
        <v>0</v>
      </c>
      <c r="O790" s="76">
        <f t="shared" si="275"/>
        <v>399.6</v>
      </c>
      <c r="P790" s="76"/>
      <c r="Q790" s="51"/>
      <c r="T790" s="53">
        <v>39.15</v>
      </c>
    </row>
    <row r="791" spans="1:20" s="56" customFormat="1" ht="12" x14ac:dyDescent="0.2">
      <c r="A791" s="72"/>
      <c r="B791" s="71"/>
      <c r="C791" s="71"/>
      <c r="D791" s="71"/>
      <c r="E791" s="71"/>
      <c r="F791" s="75"/>
      <c r="G791" s="77" t="s">
        <v>1230</v>
      </c>
      <c r="H791" s="78">
        <f>SUM(H778:H790)</f>
        <v>6562.7300000000005</v>
      </c>
      <c r="I791" s="71"/>
      <c r="J791" s="71"/>
      <c r="K791" s="75"/>
      <c r="L791" s="78">
        <f>SUM(L778:L790)</f>
        <v>5143.5899999999974</v>
      </c>
      <c r="M791" s="78">
        <f>SUM(M778:M790)</f>
        <v>0</v>
      </c>
      <c r="N791" s="78">
        <f>SUM(N778:N790)</f>
        <v>0</v>
      </c>
      <c r="O791" s="78">
        <f>SUM(O778:O790)</f>
        <v>6562.7300000000005</v>
      </c>
      <c r="P791" s="78"/>
      <c r="Q791" s="60"/>
      <c r="T791" s="59"/>
    </row>
    <row r="792" spans="1:20" s="56" customFormat="1" ht="12" x14ac:dyDescent="0.2">
      <c r="A792" s="72"/>
      <c r="B792" s="82"/>
      <c r="C792" s="82"/>
      <c r="D792" s="82"/>
      <c r="E792" s="82"/>
      <c r="F792" s="75"/>
      <c r="G792" s="82"/>
      <c r="H792" s="72"/>
      <c r="I792" s="82"/>
      <c r="J792" s="82"/>
      <c r="K792" s="75"/>
      <c r="L792" s="82"/>
      <c r="M792" s="72"/>
      <c r="N792" s="72"/>
      <c r="O792" s="72"/>
      <c r="P792" s="72"/>
      <c r="Q792" s="52"/>
      <c r="T792" s="61"/>
    </row>
    <row r="793" spans="1:20" s="56" customFormat="1" ht="12" x14ac:dyDescent="0.2">
      <c r="A793" s="72"/>
      <c r="B793" s="70" t="s">
        <v>1231</v>
      </c>
      <c r="C793" s="71" t="s">
        <v>1232</v>
      </c>
      <c r="D793" s="72"/>
      <c r="E793" s="72"/>
      <c r="F793" s="75"/>
      <c r="G793" s="72"/>
      <c r="H793" s="72"/>
      <c r="I793" s="72"/>
      <c r="J793" s="72"/>
      <c r="K793" s="75"/>
      <c r="L793" s="72"/>
      <c r="M793" s="72"/>
      <c r="N793" s="72"/>
      <c r="O793" s="72"/>
      <c r="P793" s="72"/>
      <c r="Q793" s="52"/>
      <c r="T793" s="52"/>
    </row>
    <row r="794" spans="1:20" s="56" customFormat="1" ht="12" x14ac:dyDescent="0.2">
      <c r="A794" s="94">
        <v>9537</v>
      </c>
      <c r="B794" s="73" t="s">
        <v>1233</v>
      </c>
      <c r="C794" s="74" t="s">
        <v>1234</v>
      </c>
      <c r="D794" s="73" t="s">
        <v>14</v>
      </c>
      <c r="E794" s="76">
        <v>1118.48</v>
      </c>
      <c r="F794" s="75">
        <f>ROUND(T794*$T$10,2)</f>
        <v>1.89</v>
      </c>
      <c r="G794" s="75">
        <f>ROUND(F794*(1+$U$1),2)</f>
        <v>2.41</v>
      </c>
      <c r="H794" s="76">
        <f>ROUND(E794*G794,2)</f>
        <v>2695.54</v>
      </c>
      <c r="I794" s="76"/>
      <c r="J794" s="76"/>
      <c r="K794" s="75">
        <f>E794-I794</f>
        <v>1118.48</v>
      </c>
      <c r="L794" s="76">
        <f>ROUND(E794*F794,2)</f>
        <v>2113.9299999999998</v>
      </c>
      <c r="M794" s="76">
        <f>I794*G794</f>
        <v>0</v>
      </c>
      <c r="N794" s="76">
        <f>J794*G794</f>
        <v>0</v>
      </c>
      <c r="O794" s="76">
        <f>H794-N794</f>
        <v>2695.54</v>
      </c>
      <c r="P794" s="76"/>
      <c r="Q794" s="51"/>
      <c r="T794" s="53">
        <v>1.89</v>
      </c>
    </row>
    <row r="795" spans="1:20" s="56" customFormat="1" ht="12" x14ac:dyDescent="0.2">
      <c r="A795" s="72"/>
      <c r="B795" s="71"/>
      <c r="C795" s="71"/>
      <c r="D795" s="71"/>
      <c r="E795" s="71"/>
      <c r="F795" s="75"/>
      <c r="G795" s="77" t="s">
        <v>1235</v>
      </c>
      <c r="H795" s="78">
        <f>SUM(H794)</f>
        <v>2695.54</v>
      </c>
      <c r="I795" s="71"/>
      <c r="J795" s="71"/>
      <c r="K795" s="75"/>
      <c r="L795" s="78">
        <f>SUM(L794)</f>
        <v>2113.9299999999998</v>
      </c>
      <c r="M795" s="78">
        <f>SUM(M794)</f>
        <v>0</v>
      </c>
      <c r="N795" s="78">
        <f>SUM(N794)</f>
        <v>0</v>
      </c>
      <c r="O795" s="78">
        <f>SUM(O794)</f>
        <v>2695.54</v>
      </c>
      <c r="P795" s="78"/>
      <c r="Q795" s="60"/>
      <c r="R795" s="58"/>
      <c r="T795" s="59"/>
    </row>
    <row r="796" spans="1:20" s="56" customFormat="1" ht="12" x14ac:dyDescent="0.2">
      <c r="A796" s="72"/>
      <c r="B796" s="82"/>
      <c r="C796" s="82"/>
      <c r="D796" s="82"/>
      <c r="E796" s="82"/>
      <c r="F796" s="75"/>
      <c r="G796" s="82"/>
      <c r="H796" s="72"/>
      <c r="I796" s="82"/>
      <c r="J796" s="82"/>
      <c r="K796" s="75"/>
      <c r="L796" s="82"/>
      <c r="M796" s="72"/>
      <c r="N796" s="72"/>
      <c r="O796" s="72"/>
      <c r="P796" s="72"/>
      <c r="Q796" s="52"/>
      <c r="T796" s="61"/>
    </row>
    <row r="797" spans="1:20" s="56" customFormat="1" ht="12" x14ac:dyDescent="0.2">
      <c r="A797" s="72"/>
      <c r="B797" s="70" t="s">
        <v>1236</v>
      </c>
      <c r="C797" s="71" t="s">
        <v>1237</v>
      </c>
      <c r="D797" s="72"/>
      <c r="E797" s="72"/>
      <c r="F797" s="75"/>
      <c r="G797" s="72"/>
      <c r="H797" s="72"/>
      <c r="I797" s="72"/>
      <c r="J797" s="72"/>
      <c r="K797" s="75"/>
      <c r="L797" s="72"/>
      <c r="M797" s="72"/>
      <c r="N797" s="72"/>
      <c r="O797" s="72"/>
      <c r="P797" s="72"/>
      <c r="Q797" s="52"/>
      <c r="T797" s="52"/>
    </row>
    <row r="798" spans="1:20" s="56" customFormat="1" ht="12" x14ac:dyDescent="0.2">
      <c r="A798" s="72"/>
      <c r="B798" s="70" t="s">
        <v>1238</v>
      </c>
      <c r="C798" s="71" t="s">
        <v>1239</v>
      </c>
      <c r="D798" s="72"/>
      <c r="E798" s="72"/>
      <c r="F798" s="75"/>
      <c r="G798" s="72"/>
      <c r="H798" s="72"/>
      <c r="I798" s="72"/>
      <c r="J798" s="72"/>
      <c r="K798" s="75"/>
      <c r="L798" s="72"/>
      <c r="M798" s="72"/>
      <c r="N798" s="72"/>
      <c r="O798" s="72"/>
      <c r="P798" s="72"/>
      <c r="Q798" s="52"/>
      <c r="T798" s="52"/>
    </row>
    <row r="799" spans="1:20" s="56" customFormat="1" ht="24" x14ac:dyDescent="0.2">
      <c r="A799" s="94">
        <v>96523</v>
      </c>
      <c r="B799" s="80">
        <v>46388</v>
      </c>
      <c r="C799" s="74" t="s">
        <v>1240</v>
      </c>
      <c r="D799" s="73" t="s">
        <v>14</v>
      </c>
      <c r="E799" s="75">
        <v>43.47</v>
      </c>
      <c r="F799" s="75">
        <f t="shared" ref="F799:F811" si="276">ROUND(T799*$T$10,2)</f>
        <v>59.37</v>
      </c>
      <c r="G799" s="75">
        <f t="shared" ref="G799:G811" si="277">ROUND(F799*(1+$U$1),2)</f>
        <v>75.75</v>
      </c>
      <c r="H799" s="76">
        <f t="shared" ref="H799:H811" si="278">ROUND(E799*G799,2)</f>
        <v>3292.85</v>
      </c>
      <c r="I799" s="75">
        <v>43.47</v>
      </c>
      <c r="J799" s="75">
        <f t="shared" ref="J799:J811" si="279">I799</f>
        <v>43.47</v>
      </c>
      <c r="K799" s="75">
        <f t="shared" ref="K799:K811" si="280">E799-I799</f>
        <v>0</v>
      </c>
      <c r="L799" s="76">
        <f t="shared" ref="L799:L811" si="281">ROUND(E799*F799,2)</f>
        <v>2580.81</v>
      </c>
      <c r="M799" s="76">
        <f t="shared" ref="M799:M811" si="282">I799*G799</f>
        <v>3292.8525</v>
      </c>
      <c r="N799" s="76">
        <f t="shared" ref="N799:N811" si="283">J799*G799</f>
        <v>3292.8525</v>
      </c>
      <c r="O799" s="76">
        <f t="shared" ref="O799:O811" si="284">H799-N799</f>
        <v>-2.5000000000545697E-3</v>
      </c>
      <c r="P799" s="90">
        <f t="shared" ref="P799:P812" si="285">N799/H799</f>
        <v>1.0000007592207358</v>
      </c>
      <c r="Q799" s="51"/>
      <c r="T799" s="53">
        <v>59.37</v>
      </c>
    </row>
    <row r="800" spans="1:20" s="56" customFormat="1" ht="24" x14ac:dyDescent="0.2">
      <c r="A800" s="94">
        <v>96616</v>
      </c>
      <c r="B800" s="80">
        <v>46389</v>
      </c>
      <c r="C800" s="74" t="s">
        <v>1241</v>
      </c>
      <c r="D800" s="69" t="s">
        <v>171</v>
      </c>
      <c r="E800" s="75">
        <v>2.0699999999999998</v>
      </c>
      <c r="F800" s="75">
        <f t="shared" si="276"/>
        <v>395.1</v>
      </c>
      <c r="G800" s="75">
        <f t="shared" si="277"/>
        <v>504.11</v>
      </c>
      <c r="H800" s="76">
        <f t="shared" si="278"/>
        <v>1043.51</v>
      </c>
      <c r="I800" s="75">
        <v>2.0699999999999998</v>
      </c>
      <c r="J800" s="75">
        <f t="shared" si="279"/>
        <v>2.0699999999999998</v>
      </c>
      <c r="K800" s="75">
        <f t="shared" si="280"/>
        <v>0</v>
      </c>
      <c r="L800" s="76">
        <f t="shared" si="281"/>
        <v>817.86</v>
      </c>
      <c r="M800" s="76">
        <f t="shared" si="282"/>
        <v>1043.5076999999999</v>
      </c>
      <c r="N800" s="76">
        <f t="shared" si="283"/>
        <v>1043.5076999999999</v>
      </c>
      <c r="O800" s="76">
        <f t="shared" si="284"/>
        <v>2.3000000001047738E-3</v>
      </c>
      <c r="P800" s="90">
        <f t="shared" si="285"/>
        <v>0.99999779590037463</v>
      </c>
      <c r="Q800" s="51"/>
      <c r="T800" s="53">
        <v>395.1</v>
      </c>
    </row>
    <row r="801" spans="1:20" s="56" customFormat="1" ht="24" x14ac:dyDescent="0.2">
      <c r="A801" s="94">
        <v>95592</v>
      </c>
      <c r="B801" s="80">
        <v>46390</v>
      </c>
      <c r="C801" s="74" t="s">
        <v>1242</v>
      </c>
      <c r="D801" s="73" t="s">
        <v>35</v>
      </c>
      <c r="E801" s="76">
        <v>1051.68</v>
      </c>
      <c r="F801" s="75">
        <f t="shared" si="276"/>
        <v>12.22</v>
      </c>
      <c r="G801" s="75">
        <f t="shared" si="277"/>
        <v>15.59</v>
      </c>
      <c r="H801" s="76">
        <f t="shared" si="278"/>
        <v>16395.689999999999</v>
      </c>
      <c r="I801" s="76">
        <v>614.37</v>
      </c>
      <c r="J801" s="75">
        <f t="shared" si="279"/>
        <v>614.37</v>
      </c>
      <c r="K801" s="75">
        <f t="shared" si="280"/>
        <v>437.31000000000006</v>
      </c>
      <c r="L801" s="76">
        <f t="shared" si="281"/>
        <v>12851.53</v>
      </c>
      <c r="M801" s="76">
        <f t="shared" si="282"/>
        <v>9578.0282999999999</v>
      </c>
      <c r="N801" s="76">
        <f t="shared" si="283"/>
        <v>9578.0282999999999</v>
      </c>
      <c r="O801" s="127">
        <f t="shared" si="284"/>
        <v>6817.6616999999987</v>
      </c>
      <c r="P801" s="90">
        <f t="shared" si="285"/>
        <v>0.58417964111299991</v>
      </c>
      <c r="Q801" s="51"/>
      <c r="T801" s="53">
        <v>12.22</v>
      </c>
    </row>
    <row r="802" spans="1:20" s="56" customFormat="1" ht="24" x14ac:dyDescent="0.2">
      <c r="A802" s="94">
        <v>95585</v>
      </c>
      <c r="B802" s="80">
        <v>46391</v>
      </c>
      <c r="C802" s="74" t="s">
        <v>1243</v>
      </c>
      <c r="D802" s="73" t="s">
        <v>35</v>
      </c>
      <c r="E802" s="75">
        <v>1956.11</v>
      </c>
      <c r="F802" s="75">
        <f t="shared" si="276"/>
        <v>7.67</v>
      </c>
      <c r="G802" s="75">
        <f t="shared" si="277"/>
        <v>9.7899999999999991</v>
      </c>
      <c r="H802" s="76">
        <f t="shared" si="278"/>
        <v>19150.32</v>
      </c>
      <c r="I802" s="75">
        <v>1813.76</v>
      </c>
      <c r="J802" s="75">
        <f t="shared" si="279"/>
        <v>1813.76</v>
      </c>
      <c r="K802" s="75">
        <f t="shared" si="280"/>
        <v>142.34999999999991</v>
      </c>
      <c r="L802" s="76">
        <f t="shared" si="281"/>
        <v>15003.36</v>
      </c>
      <c r="M802" s="76">
        <f t="shared" si="282"/>
        <v>17756.7104</v>
      </c>
      <c r="N802" s="76">
        <f t="shared" si="283"/>
        <v>17756.7104</v>
      </c>
      <c r="O802" s="127">
        <f t="shared" si="284"/>
        <v>1393.6095999999998</v>
      </c>
      <c r="P802" s="90">
        <f t="shared" si="285"/>
        <v>0.92722786877712748</v>
      </c>
      <c r="Q802" s="51"/>
      <c r="T802" s="53">
        <v>7.67</v>
      </c>
    </row>
    <row r="803" spans="1:20" s="56" customFormat="1" ht="13.5" x14ac:dyDescent="0.2">
      <c r="A803" s="94">
        <v>94965</v>
      </c>
      <c r="B803" s="80">
        <v>46392</v>
      </c>
      <c r="C803" s="74" t="s">
        <v>1244</v>
      </c>
      <c r="D803" s="69" t="s">
        <v>171</v>
      </c>
      <c r="E803" s="75">
        <v>26.73</v>
      </c>
      <c r="F803" s="75">
        <f t="shared" si="276"/>
        <v>302.64</v>
      </c>
      <c r="G803" s="75">
        <f t="shared" si="277"/>
        <v>386.14</v>
      </c>
      <c r="H803" s="76">
        <f t="shared" si="278"/>
        <v>10321.52</v>
      </c>
      <c r="I803" s="75">
        <v>24.79</v>
      </c>
      <c r="J803" s="75">
        <f t="shared" si="279"/>
        <v>24.79</v>
      </c>
      <c r="K803" s="75">
        <f t="shared" si="280"/>
        <v>1.9400000000000013</v>
      </c>
      <c r="L803" s="76">
        <f t="shared" si="281"/>
        <v>8089.57</v>
      </c>
      <c r="M803" s="76">
        <f t="shared" si="282"/>
        <v>9572.4105999999992</v>
      </c>
      <c r="N803" s="76">
        <f t="shared" si="283"/>
        <v>9572.4105999999992</v>
      </c>
      <c r="O803" s="76">
        <f t="shared" si="284"/>
        <v>749.10940000000119</v>
      </c>
      <c r="P803" s="90">
        <f t="shared" si="285"/>
        <v>0.92742256954402058</v>
      </c>
      <c r="Q803" s="51"/>
      <c r="T803" s="53">
        <v>302.64</v>
      </c>
    </row>
    <row r="804" spans="1:20" s="56" customFormat="1" ht="24" x14ac:dyDescent="0.2">
      <c r="A804" s="94">
        <v>92873</v>
      </c>
      <c r="B804" s="80">
        <v>46393</v>
      </c>
      <c r="C804" s="74" t="s">
        <v>1245</v>
      </c>
      <c r="D804" s="69" t="s">
        <v>171</v>
      </c>
      <c r="E804" s="75">
        <v>26.73</v>
      </c>
      <c r="F804" s="75">
        <f t="shared" si="276"/>
        <v>135.94</v>
      </c>
      <c r="G804" s="75">
        <f t="shared" si="277"/>
        <v>173.45</v>
      </c>
      <c r="H804" s="76">
        <f t="shared" si="278"/>
        <v>4636.32</v>
      </c>
      <c r="I804" s="75">
        <v>24.79</v>
      </c>
      <c r="J804" s="75">
        <f t="shared" si="279"/>
        <v>24.79</v>
      </c>
      <c r="K804" s="75">
        <f t="shared" si="280"/>
        <v>1.9400000000000013</v>
      </c>
      <c r="L804" s="76">
        <f t="shared" si="281"/>
        <v>3633.68</v>
      </c>
      <c r="M804" s="76">
        <f t="shared" si="282"/>
        <v>4299.8254999999999</v>
      </c>
      <c r="N804" s="76">
        <f t="shared" si="283"/>
        <v>4299.8254999999999</v>
      </c>
      <c r="O804" s="76">
        <f t="shared" si="284"/>
        <v>336.49449999999979</v>
      </c>
      <c r="P804" s="90">
        <f t="shared" si="285"/>
        <v>0.9274220718155779</v>
      </c>
      <c r="Q804" s="51"/>
      <c r="T804" s="53">
        <v>135.94</v>
      </c>
    </row>
    <row r="805" spans="1:20" s="56" customFormat="1" ht="13.5" x14ac:dyDescent="0.2">
      <c r="A805" s="94">
        <v>96995</v>
      </c>
      <c r="B805" s="80">
        <v>46394</v>
      </c>
      <c r="C805" s="74" t="s">
        <v>1246</v>
      </c>
      <c r="D805" s="69" t="s">
        <v>171</v>
      </c>
      <c r="E805" s="89">
        <v>41.112499999999997</v>
      </c>
      <c r="F805" s="75">
        <f t="shared" si="276"/>
        <v>29.88</v>
      </c>
      <c r="G805" s="75">
        <f t="shared" si="277"/>
        <v>38.119999999999997</v>
      </c>
      <c r="H805" s="76">
        <f t="shared" si="278"/>
        <v>1567.21</v>
      </c>
      <c r="I805" s="75">
        <v>38.25</v>
      </c>
      <c r="J805" s="75">
        <f t="shared" si="279"/>
        <v>38.25</v>
      </c>
      <c r="K805" s="75">
        <f t="shared" si="280"/>
        <v>2.8624999999999972</v>
      </c>
      <c r="L805" s="76">
        <f t="shared" si="281"/>
        <v>1228.44</v>
      </c>
      <c r="M805" s="76">
        <f t="shared" si="282"/>
        <v>1458.09</v>
      </c>
      <c r="N805" s="76">
        <f t="shared" si="283"/>
        <v>1458.09</v>
      </c>
      <c r="O805" s="76">
        <f t="shared" si="284"/>
        <v>109.12000000000012</v>
      </c>
      <c r="P805" s="90">
        <f t="shared" si="285"/>
        <v>0.93037308337746694</v>
      </c>
      <c r="Q805" s="51"/>
      <c r="T805" s="53">
        <v>29.88</v>
      </c>
    </row>
    <row r="806" spans="1:20" s="56" customFormat="1" ht="24" x14ac:dyDescent="0.2">
      <c r="A806" s="94">
        <v>68054</v>
      </c>
      <c r="B806" s="80">
        <v>46395</v>
      </c>
      <c r="C806" s="74" t="s">
        <v>1247</v>
      </c>
      <c r="D806" s="73" t="s">
        <v>14</v>
      </c>
      <c r="E806" s="75">
        <v>15.5</v>
      </c>
      <c r="F806" s="75">
        <f t="shared" si="276"/>
        <v>181.93</v>
      </c>
      <c r="G806" s="75">
        <f t="shared" si="277"/>
        <v>232.12</v>
      </c>
      <c r="H806" s="76">
        <f t="shared" si="278"/>
        <v>3597.86</v>
      </c>
      <c r="I806" s="75"/>
      <c r="J806" s="75">
        <f t="shared" si="279"/>
        <v>0</v>
      </c>
      <c r="K806" s="75">
        <f t="shared" si="280"/>
        <v>15.5</v>
      </c>
      <c r="L806" s="76">
        <f t="shared" si="281"/>
        <v>2819.92</v>
      </c>
      <c r="M806" s="76">
        <f t="shared" si="282"/>
        <v>0</v>
      </c>
      <c r="N806" s="76">
        <f t="shared" si="283"/>
        <v>0</v>
      </c>
      <c r="O806" s="76">
        <f t="shared" si="284"/>
        <v>3597.86</v>
      </c>
      <c r="P806" s="90">
        <f t="shared" si="285"/>
        <v>0</v>
      </c>
      <c r="Q806" s="51"/>
      <c r="T806" s="53">
        <v>181.93</v>
      </c>
    </row>
    <row r="807" spans="1:20" s="56" customFormat="1" ht="60" x14ac:dyDescent="0.2">
      <c r="A807" s="94">
        <v>87478</v>
      </c>
      <c r="B807" s="80">
        <v>46396</v>
      </c>
      <c r="C807" s="74" t="s">
        <v>1248</v>
      </c>
      <c r="D807" s="73" t="s">
        <v>14</v>
      </c>
      <c r="E807" s="75">
        <v>569.25</v>
      </c>
      <c r="F807" s="75">
        <f t="shared" si="276"/>
        <v>30.11</v>
      </c>
      <c r="G807" s="75">
        <f t="shared" si="277"/>
        <v>38.42</v>
      </c>
      <c r="H807" s="76">
        <f t="shared" si="278"/>
        <v>21870.59</v>
      </c>
      <c r="I807" s="75">
        <v>471.25</v>
      </c>
      <c r="J807" s="75">
        <f t="shared" si="279"/>
        <v>471.25</v>
      </c>
      <c r="K807" s="75">
        <f t="shared" si="280"/>
        <v>98</v>
      </c>
      <c r="L807" s="76">
        <f t="shared" si="281"/>
        <v>17140.12</v>
      </c>
      <c r="M807" s="76">
        <f t="shared" si="282"/>
        <v>18105.424999999999</v>
      </c>
      <c r="N807" s="76">
        <f t="shared" si="283"/>
        <v>18105.424999999999</v>
      </c>
      <c r="O807" s="76">
        <f t="shared" si="284"/>
        <v>3765.1650000000009</v>
      </c>
      <c r="P807" s="90">
        <f t="shared" si="285"/>
        <v>0.82784346467104908</v>
      </c>
      <c r="Q807" s="51"/>
      <c r="T807" s="53">
        <v>30.11</v>
      </c>
    </row>
    <row r="808" spans="1:20" s="56" customFormat="1" ht="24" x14ac:dyDescent="0.2">
      <c r="A808" s="73" t="s">
        <v>1249</v>
      </c>
      <c r="B808" s="87">
        <v>40205</v>
      </c>
      <c r="C808" s="74" t="s">
        <v>1250</v>
      </c>
      <c r="D808" s="73" t="s">
        <v>14</v>
      </c>
      <c r="E808" s="75">
        <v>65.25</v>
      </c>
      <c r="F808" s="75">
        <f t="shared" si="276"/>
        <v>76.17</v>
      </c>
      <c r="G808" s="75">
        <f t="shared" si="277"/>
        <v>97.19</v>
      </c>
      <c r="H808" s="76">
        <f t="shared" si="278"/>
        <v>6341.65</v>
      </c>
      <c r="I808" s="75"/>
      <c r="J808" s="75">
        <f t="shared" si="279"/>
        <v>0</v>
      </c>
      <c r="K808" s="75">
        <f t="shared" si="280"/>
        <v>65.25</v>
      </c>
      <c r="L808" s="76">
        <f t="shared" si="281"/>
        <v>4970.09</v>
      </c>
      <c r="M808" s="76">
        <f t="shared" si="282"/>
        <v>0</v>
      </c>
      <c r="N808" s="76">
        <f t="shared" si="283"/>
        <v>0</v>
      </c>
      <c r="O808" s="76">
        <f t="shared" si="284"/>
        <v>6341.65</v>
      </c>
      <c r="P808" s="90">
        <f t="shared" si="285"/>
        <v>0</v>
      </c>
      <c r="Q808" s="51"/>
      <c r="T808" s="53">
        <v>76.17</v>
      </c>
    </row>
    <row r="809" spans="1:20" s="56" customFormat="1" ht="36" x14ac:dyDescent="0.2">
      <c r="A809" s="94">
        <v>87878</v>
      </c>
      <c r="B809" s="87">
        <v>40570</v>
      </c>
      <c r="C809" s="74" t="s">
        <v>1251</v>
      </c>
      <c r="D809" s="73" t="s">
        <v>14</v>
      </c>
      <c r="E809" s="75">
        <v>1138.5</v>
      </c>
      <c r="F809" s="75">
        <f t="shared" si="276"/>
        <v>2.97</v>
      </c>
      <c r="G809" s="75">
        <f t="shared" si="277"/>
        <v>3.79</v>
      </c>
      <c r="H809" s="76">
        <f t="shared" si="278"/>
        <v>4314.92</v>
      </c>
      <c r="I809" s="75">
        <v>623.1</v>
      </c>
      <c r="J809" s="75">
        <f t="shared" si="279"/>
        <v>623.1</v>
      </c>
      <c r="K809" s="75">
        <f t="shared" si="280"/>
        <v>515.4</v>
      </c>
      <c r="L809" s="76">
        <f t="shared" si="281"/>
        <v>3381.35</v>
      </c>
      <c r="M809" s="76">
        <f t="shared" si="282"/>
        <v>2361.549</v>
      </c>
      <c r="N809" s="76">
        <f t="shared" si="283"/>
        <v>2361.549</v>
      </c>
      <c r="O809" s="76">
        <f t="shared" si="284"/>
        <v>1953.3710000000001</v>
      </c>
      <c r="P809" s="90">
        <f t="shared" si="285"/>
        <v>0.54729844354008883</v>
      </c>
      <c r="Q809" s="51"/>
      <c r="T809" s="53">
        <v>2.97</v>
      </c>
    </row>
    <row r="810" spans="1:20" s="56" customFormat="1" ht="12" x14ac:dyDescent="0.2">
      <c r="A810" s="73" t="s">
        <v>229</v>
      </c>
      <c r="B810" s="87">
        <v>40935</v>
      </c>
      <c r="C810" s="74" t="s">
        <v>1252</v>
      </c>
      <c r="D810" s="73" t="s">
        <v>14</v>
      </c>
      <c r="E810" s="75">
        <v>1138.5</v>
      </c>
      <c r="F810" s="75">
        <f t="shared" si="276"/>
        <v>21.63</v>
      </c>
      <c r="G810" s="75">
        <f t="shared" si="277"/>
        <v>27.6</v>
      </c>
      <c r="H810" s="76">
        <f t="shared" si="278"/>
        <v>31422.6</v>
      </c>
      <c r="I810" s="75">
        <v>519.25</v>
      </c>
      <c r="J810" s="75">
        <f t="shared" si="279"/>
        <v>519.25</v>
      </c>
      <c r="K810" s="75">
        <f t="shared" si="280"/>
        <v>619.25</v>
      </c>
      <c r="L810" s="76">
        <f t="shared" si="281"/>
        <v>24625.759999999998</v>
      </c>
      <c r="M810" s="76">
        <f t="shared" si="282"/>
        <v>14331.300000000001</v>
      </c>
      <c r="N810" s="76">
        <f t="shared" si="283"/>
        <v>14331.300000000001</v>
      </c>
      <c r="O810" s="76">
        <f t="shared" si="284"/>
        <v>17091.299999999996</v>
      </c>
      <c r="P810" s="90">
        <f t="shared" si="285"/>
        <v>0.45608256477821701</v>
      </c>
      <c r="Q810" s="51"/>
      <c r="T810" s="53">
        <v>21.63</v>
      </c>
    </row>
    <row r="811" spans="1:20" s="56" customFormat="1" ht="12" x14ac:dyDescent="0.2">
      <c r="A811" s="94">
        <v>88489</v>
      </c>
      <c r="B811" s="87">
        <v>41301</v>
      </c>
      <c r="C811" s="74" t="s">
        <v>1253</v>
      </c>
      <c r="D811" s="73" t="s">
        <v>14</v>
      </c>
      <c r="E811" s="75">
        <v>1269</v>
      </c>
      <c r="F811" s="75">
        <f t="shared" si="276"/>
        <v>8.41</v>
      </c>
      <c r="G811" s="75">
        <f t="shared" si="277"/>
        <v>10.73</v>
      </c>
      <c r="H811" s="76">
        <f t="shared" si="278"/>
        <v>13616.37</v>
      </c>
      <c r="I811" s="75"/>
      <c r="J811" s="75">
        <f t="shared" si="279"/>
        <v>0</v>
      </c>
      <c r="K811" s="75">
        <f t="shared" si="280"/>
        <v>1269</v>
      </c>
      <c r="L811" s="76">
        <f t="shared" si="281"/>
        <v>10672.29</v>
      </c>
      <c r="M811" s="76">
        <f t="shared" si="282"/>
        <v>0</v>
      </c>
      <c r="N811" s="76">
        <f t="shared" si="283"/>
        <v>0</v>
      </c>
      <c r="O811" s="76">
        <f t="shared" si="284"/>
        <v>13616.37</v>
      </c>
      <c r="P811" s="90">
        <f t="shared" si="285"/>
        <v>0</v>
      </c>
      <c r="Q811" s="51"/>
      <c r="T811" s="53">
        <v>8.41</v>
      </c>
    </row>
    <row r="812" spans="1:20" s="56" customFormat="1" ht="12" x14ac:dyDescent="0.2">
      <c r="A812" s="72"/>
      <c r="B812" s="71"/>
      <c r="C812" s="71"/>
      <c r="D812" s="71"/>
      <c r="E812" s="71"/>
      <c r="F812" s="75"/>
      <c r="G812" s="77" t="s">
        <v>1269</v>
      </c>
      <c r="H812" s="78">
        <f>SUM(H799:H811)</f>
        <v>137571.40999999997</v>
      </c>
      <c r="I812" s="71"/>
      <c r="J812" s="71"/>
      <c r="K812" s="75"/>
      <c r="L812" s="78">
        <f>SUM(L799:L811)</f>
        <v>107814.78</v>
      </c>
      <c r="M812" s="78">
        <f>SUM(M799:M811)</f>
        <v>81799.698999999993</v>
      </c>
      <c r="N812" s="78">
        <f>SUM(N799:N811)</f>
        <v>81799.698999999993</v>
      </c>
      <c r="O812" s="78">
        <f>SUM(O799:O811)</f>
        <v>55771.711000000003</v>
      </c>
      <c r="P812" s="91">
        <f t="shared" si="285"/>
        <v>0.59459809999766677</v>
      </c>
      <c r="Q812" s="60"/>
      <c r="T812" s="59"/>
    </row>
    <row r="813" spans="1:20" s="56" customFormat="1" ht="12" x14ac:dyDescent="0.2">
      <c r="A813" s="72"/>
      <c r="B813" s="70" t="s">
        <v>1255</v>
      </c>
      <c r="C813" s="71" t="s">
        <v>1270</v>
      </c>
      <c r="D813" s="72"/>
      <c r="E813" s="72"/>
      <c r="F813" s="75"/>
      <c r="G813" s="72"/>
      <c r="H813" s="72"/>
      <c r="I813" s="72"/>
      <c r="J813" s="72"/>
      <c r="K813" s="75"/>
      <c r="L813" s="72"/>
      <c r="M813" s="72"/>
      <c r="N813" s="72"/>
      <c r="O813" s="72"/>
      <c r="P813" s="72"/>
      <c r="Q813" s="52"/>
      <c r="T813" s="52"/>
    </row>
    <row r="814" spans="1:20" s="56" customFormat="1" ht="36" x14ac:dyDescent="0.2">
      <c r="A814" s="94">
        <v>97627</v>
      </c>
      <c r="B814" s="80">
        <v>46419</v>
      </c>
      <c r="C814" s="74" t="s">
        <v>1271</v>
      </c>
      <c r="D814" s="69" t="s">
        <v>171</v>
      </c>
      <c r="E814" s="75">
        <v>16.77</v>
      </c>
      <c r="F814" s="75">
        <f>ROUND(T814*$T$10,2)</f>
        <v>184.77</v>
      </c>
      <c r="G814" s="75">
        <f>ROUND(F814*(1+$U$1),2)</f>
        <v>235.75</v>
      </c>
      <c r="H814" s="76">
        <f>ROUND(E814*G814,2)</f>
        <v>3953.53</v>
      </c>
      <c r="I814" s="75">
        <v>5.03</v>
      </c>
      <c r="J814" s="75">
        <f>I814</f>
        <v>5.03</v>
      </c>
      <c r="K814" s="75">
        <f>E814-I814</f>
        <v>11.739999999999998</v>
      </c>
      <c r="L814" s="76">
        <f>ROUND(E814*F814,2)</f>
        <v>3098.59</v>
      </c>
      <c r="M814" s="76">
        <f>I814*G814</f>
        <v>1185.8225</v>
      </c>
      <c r="N814" s="76">
        <f>J814*G814</f>
        <v>1185.8225</v>
      </c>
      <c r="O814" s="76">
        <f>H814-N814</f>
        <v>2767.7075000000004</v>
      </c>
      <c r="P814" s="90">
        <f>N814/H814</f>
        <v>0.29994018004163364</v>
      </c>
      <c r="Q814" s="51"/>
      <c r="T814" s="53">
        <v>184.77</v>
      </c>
    </row>
    <row r="815" spans="1:20" s="56" customFormat="1" ht="24" x14ac:dyDescent="0.2">
      <c r="A815" s="94">
        <v>72897</v>
      </c>
      <c r="B815" s="80">
        <v>46420</v>
      </c>
      <c r="C815" s="74" t="s">
        <v>1272</v>
      </c>
      <c r="D815" s="69" t="s">
        <v>171</v>
      </c>
      <c r="E815" s="75">
        <v>20.97</v>
      </c>
      <c r="F815" s="75">
        <f>ROUND(T815*$T$10,2)</f>
        <v>16.57</v>
      </c>
      <c r="G815" s="75">
        <f>ROUND(F815*(1+$U$1),2)</f>
        <v>21.14</v>
      </c>
      <c r="H815" s="76">
        <f>ROUND(E815*G815,2)</f>
        <v>443.31</v>
      </c>
      <c r="I815" s="75">
        <v>6.29</v>
      </c>
      <c r="J815" s="75">
        <f>I815</f>
        <v>6.29</v>
      </c>
      <c r="K815" s="75">
        <f>E815-I815</f>
        <v>14.68</v>
      </c>
      <c r="L815" s="76">
        <f>ROUND(E815*F815,2)</f>
        <v>347.47</v>
      </c>
      <c r="M815" s="76">
        <f>I815*G815</f>
        <v>132.97059999999999</v>
      </c>
      <c r="N815" s="76">
        <f>J815*G815</f>
        <v>132.97059999999999</v>
      </c>
      <c r="O815" s="76">
        <f>H815-N815</f>
        <v>310.33940000000001</v>
      </c>
      <c r="P815" s="90">
        <f>N815/H815</f>
        <v>0.29994947102479075</v>
      </c>
      <c r="Q815" s="51"/>
      <c r="T815" s="53">
        <v>16.57</v>
      </c>
    </row>
    <row r="816" spans="1:20" s="56" customFormat="1" ht="12" x14ac:dyDescent="0.2">
      <c r="A816" s="72"/>
      <c r="B816" s="71"/>
      <c r="C816" s="71"/>
      <c r="D816" s="71"/>
      <c r="E816" s="71"/>
      <c r="F816" s="71"/>
      <c r="G816" s="77" t="s">
        <v>1273</v>
      </c>
      <c r="H816" s="78">
        <f>SUM(H814:H815)</f>
        <v>4396.84</v>
      </c>
      <c r="I816" s="71"/>
      <c r="J816" s="71"/>
      <c r="K816" s="71"/>
      <c r="L816" s="78">
        <f>SUM(L814:L815)</f>
        <v>3446.0600000000004</v>
      </c>
      <c r="M816" s="78">
        <f>SUM(M814:M815)</f>
        <v>1318.7930999999999</v>
      </c>
      <c r="N816" s="78">
        <f>SUM(N814:N815)</f>
        <v>1318.7930999999999</v>
      </c>
      <c r="O816" s="78">
        <f>SUM(O814:O815)</f>
        <v>3078.0469000000003</v>
      </c>
      <c r="P816" s="91">
        <f>N816/H816</f>
        <v>0.29994111680206692</v>
      </c>
      <c r="Q816" s="60"/>
      <c r="T816" s="59"/>
    </row>
    <row r="817" spans="1:20" s="56" customFormat="1" ht="12" x14ac:dyDescent="0.2">
      <c r="A817" s="72"/>
      <c r="B817" s="69"/>
      <c r="C817" s="8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52"/>
      <c r="T817" s="52"/>
    </row>
    <row r="818" spans="1:20" s="56" customFormat="1" ht="12" x14ac:dyDescent="0.2">
      <c r="A818" s="72"/>
      <c r="B818" s="71"/>
      <c r="C818" s="71"/>
      <c r="D818" s="71"/>
      <c r="E818" s="71"/>
      <c r="F818" s="71"/>
      <c r="G818" s="77" t="s">
        <v>1260</v>
      </c>
      <c r="H818" s="78">
        <f>SUM(H816,H812,)</f>
        <v>141968.24999999997</v>
      </c>
      <c r="I818" s="71"/>
      <c r="J818" s="71"/>
      <c r="K818" s="71"/>
      <c r="L818" s="78">
        <f>SUM(L816,L812,)</f>
        <v>111260.84</v>
      </c>
      <c r="M818" s="78">
        <f>SUM(M816,M812,)</f>
        <v>83118.492099999989</v>
      </c>
      <c r="N818" s="78">
        <f>SUM(N816,N812,)</f>
        <v>83118.492099999989</v>
      </c>
      <c r="O818" s="78">
        <f>SUM(O816,O812,)</f>
        <v>58849.757900000004</v>
      </c>
      <c r="P818" s="91">
        <f>N818/H818</f>
        <v>0.58547240034303449</v>
      </c>
      <c r="Q818" s="60"/>
      <c r="R818" s="58"/>
      <c r="T818" s="59"/>
    </row>
    <row r="819" spans="1:20" s="56" customFormat="1" ht="12" x14ac:dyDescent="0.2">
      <c r="A819" s="72"/>
      <c r="B819" s="71" t="s">
        <v>1261</v>
      </c>
      <c r="C819" s="71"/>
      <c r="D819" s="71"/>
      <c r="E819" s="71"/>
      <c r="F819" s="71"/>
      <c r="G819" s="77" t="s">
        <v>1281</v>
      </c>
      <c r="H819" s="78">
        <f>SUM(H818,H795,H791,H775,H737,H714,H634,H473,H387,H368,H341,H315,H310,H254,H188,H165,H150,H144,H135,H118,H113,H105,H101,H61,H51,H29,H17)</f>
        <v>1791994.5999999999</v>
      </c>
      <c r="I819" s="71"/>
      <c r="J819" s="71"/>
      <c r="K819" s="71"/>
      <c r="L819" s="78">
        <f>SUM(L818,L795,L791,L775,L737,L714,L634,L473,L387,L368,L341,L315,L310,L254,L188,L165,L150,L144,L135,L118,L113,L105,L101,L61,L51,L29,L17)</f>
        <v>1404497.93</v>
      </c>
      <c r="M819" s="78">
        <f>SUM(M818,M795,M791,M775,M737,M714,M634,M473,M387,M368,M341,M315,M310,M254,M188,M165,M150,M144,M135,M118,M113,M105,M101,M61,M51,M29,M17)</f>
        <v>149893.5864</v>
      </c>
      <c r="N819" s="78">
        <f>SUM(N818,N795,N791,N775,N737,N714,N634,N473,N387,N368,N341,N315,N310,N254,N188,N165,N150,N144,N135,N118,N113,N105,N101,N61,N51,N29,N17)</f>
        <v>149893.5864</v>
      </c>
      <c r="O819" s="78">
        <f>SUM(O818,O795,O791,O775,O737,O714,O634,O473,O387,O368,O341,O315,O310,O254,O188,O165,O150,O144,O135,O118,O113,O105,O101,O61,O51,O29,O17)</f>
        <v>1642101.0136000002</v>
      </c>
      <c r="P819" s="91">
        <f>M819/H819</f>
        <v>8.3646226612513239E-2</v>
      </c>
      <c r="Q819" s="60"/>
      <c r="R819" s="58"/>
      <c r="T819" s="59"/>
    </row>
    <row r="820" spans="1:20" x14ac:dyDescent="0.2">
      <c r="L820" s="65"/>
      <c r="Q820" s="65"/>
    </row>
    <row r="823" spans="1:20" x14ac:dyDescent="0.2">
      <c r="A823" s="63" t="s">
        <v>1300</v>
      </c>
      <c r="D823" s="63" t="s">
        <v>1301</v>
      </c>
      <c r="J823" s="63" t="s">
        <v>1302</v>
      </c>
      <c r="M823" s="63" t="s">
        <v>1300</v>
      </c>
      <c r="Q823" s="65"/>
    </row>
    <row r="824" spans="1:20" x14ac:dyDescent="0.2">
      <c r="A824" s="63" t="s">
        <v>1303</v>
      </c>
      <c r="D824" s="63" t="s">
        <v>1304</v>
      </c>
      <c r="J824" s="63" t="s">
        <v>1305</v>
      </c>
      <c r="M824" s="63" t="s">
        <v>1306</v>
      </c>
    </row>
    <row r="825" spans="1:20" x14ac:dyDescent="0.2">
      <c r="A825" s="63" t="s">
        <v>1307</v>
      </c>
      <c r="D825" s="63" t="s">
        <v>1308</v>
      </c>
      <c r="J825" s="63" t="s">
        <v>1309</v>
      </c>
      <c r="M825" s="63" t="s">
        <v>1310</v>
      </c>
    </row>
    <row r="826" spans="1:20" x14ac:dyDescent="0.2">
      <c r="A826" s="63" t="s">
        <v>1311</v>
      </c>
      <c r="D826" s="63" t="s">
        <v>1312</v>
      </c>
      <c r="M826" s="63" t="s">
        <v>1313</v>
      </c>
    </row>
    <row r="827" spans="1:20" x14ac:dyDescent="0.2">
      <c r="M827" s="63" t="s">
        <v>1314</v>
      </c>
    </row>
  </sheetData>
  <mergeCells count="9">
    <mergeCell ref="D1:P5"/>
    <mergeCell ref="N6:P6"/>
    <mergeCell ref="N7:P7"/>
    <mergeCell ref="K8:P8"/>
    <mergeCell ref="A6:C6"/>
    <mergeCell ref="A7:C7"/>
    <mergeCell ref="D7:E7"/>
    <mergeCell ref="D8:E8"/>
    <mergeCell ref="D6:E6"/>
  </mergeCells>
  <printOptions horizontalCentered="1"/>
  <pageMargins left="0.31496062992125984" right="0.31496062992125984" top="0.39370078740157483" bottom="1.1417322834645669" header="0.31496062992125984" footer="0.31496062992125984"/>
  <pageSetup paperSize="9" scale="55" orientation="landscape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7"/>
  <sheetViews>
    <sheetView showGridLines="0" tabSelected="1" zoomScale="70" zoomScaleNormal="70" zoomScaleSheetLayoutView="79" workbookViewId="0">
      <selection activeCell="H14" sqref="H14"/>
    </sheetView>
  </sheetViews>
  <sheetFormatPr defaultColWidth="9.33203125" defaultRowHeight="12.75" x14ac:dyDescent="0.2"/>
  <cols>
    <col min="1" max="1" width="15.83203125" style="63" customWidth="1"/>
    <col min="2" max="2" width="15.83203125" style="64" customWidth="1"/>
    <col min="3" max="3" width="61" style="63" customWidth="1"/>
    <col min="4" max="4" width="8.83203125" style="63" customWidth="1"/>
    <col min="5" max="5" width="15" style="63" customWidth="1"/>
    <col min="6" max="6" width="15.83203125" style="63" hidden="1" customWidth="1"/>
    <col min="7" max="7" width="20.33203125" style="63" customWidth="1"/>
    <col min="8" max="8" width="22.6640625" style="63" customWidth="1"/>
    <col min="9" max="9" width="19.5" style="63" customWidth="1"/>
    <col min="10" max="10" width="19.33203125" style="63" customWidth="1"/>
    <col min="11" max="11" width="14.6640625" style="63" customWidth="1"/>
    <col min="12" max="12" width="15.83203125" style="63" hidden="1" customWidth="1"/>
    <col min="13" max="13" width="18.6640625" style="63" customWidth="1"/>
    <col min="14" max="17" width="15.83203125" style="63" customWidth="1"/>
    <col min="18" max="18" width="15" style="63" customWidth="1"/>
    <col min="19" max="19" width="20.83203125" style="63" customWidth="1"/>
    <col min="20" max="20" width="22.33203125" style="63" customWidth="1"/>
    <col min="21" max="21" width="17.83203125" style="63" customWidth="1"/>
    <col min="22" max="16384" width="9.33203125" style="63"/>
  </cols>
  <sheetData>
    <row r="1" spans="1:21" s="67" customFormat="1" ht="12" customHeight="1" x14ac:dyDescent="0.2">
      <c r="B1" s="99"/>
      <c r="C1" s="99"/>
      <c r="D1" s="166" t="s">
        <v>1403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55"/>
      <c r="S1" s="66"/>
      <c r="T1" s="55"/>
      <c r="U1" s="68">
        <v>0.27589999999999998</v>
      </c>
    </row>
    <row r="2" spans="1:21" s="67" customFormat="1" ht="12" customHeight="1" x14ac:dyDescent="0.2">
      <c r="A2" s="100"/>
      <c r="B2" s="101"/>
      <c r="C2" s="101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57"/>
      <c r="T2" s="57"/>
      <c r="U2" s="57"/>
    </row>
    <row r="3" spans="1:21" s="67" customFormat="1" ht="12" customHeight="1" x14ac:dyDescent="0.2">
      <c r="A3" s="100"/>
      <c r="B3" s="101"/>
      <c r="C3" s="101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57"/>
      <c r="T3" s="57"/>
      <c r="U3" s="57"/>
    </row>
    <row r="4" spans="1:21" s="67" customFormat="1" ht="12" customHeight="1" x14ac:dyDescent="0.2">
      <c r="A4" s="100"/>
      <c r="B4" s="101"/>
      <c r="C4" s="101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57"/>
      <c r="T4" s="57"/>
      <c r="U4" s="57"/>
    </row>
    <row r="5" spans="1:21" s="67" customFormat="1" ht="29.25" customHeight="1" x14ac:dyDescent="0.2">
      <c r="A5" s="100"/>
      <c r="B5" s="101"/>
      <c r="C5" s="101"/>
      <c r="D5" s="169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1"/>
      <c r="Q5" s="57"/>
      <c r="T5" s="57"/>
      <c r="U5" s="57"/>
    </row>
    <row r="6" spans="1:21" s="67" customFormat="1" ht="49.5" customHeight="1" x14ac:dyDescent="0.2">
      <c r="A6" s="175" t="s">
        <v>1288</v>
      </c>
      <c r="B6" s="176"/>
      <c r="C6" s="177"/>
      <c r="D6" s="196" t="s">
        <v>1289</v>
      </c>
      <c r="E6" s="196"/>
      <c r="F6" s="113"/>
      <c r="G6" s="131" t="s">
        <v>1290</v>
      </c>
      <c r="H6" s="109" t="s">
        <v>1319</v>
      </c>
      <c r="I6" s="118">
        <f>M819</f>
        <v>56476.942799961194</v>
      </c>
      <c r="J6" s="109" t="s">
        <v>1396</v>
      </c>
      <c r="K6" s="126">
        <f>I6/$G$7</f>
        <v>3.1516246086880619E-2</v>
      </c>
      <c r="L6" s="113"/>
      <c r="M6" s="111" t="s">
        <v>1397</v>
      </c>
      <c r="N6" s="187">
        <v>43539</v>
      </c>
      <c r="O6" s="187"/>
      <c r="P6" s="187"/>
      <c r="Q6" s="57"/>
      <c r="T6" s="57"/>
      <c r="U6" s="57"/>
    </row>
    <row r="7" spans="1:21" s="108" customFormat="1" ht="43.5" customHeight="1" x14ac:dyDescent="0.2">
      <c r="A7" s="192" t="s">
        <v>1293</v>
      </c>
      <c r="B7" s="193"/>
      <c r="C7" s="193"/>
      <c r="D7" s="194" t="s">
        <v>1322</v>
      </c>
      <c r="E7" s="195"/>
      <c r="F7" s="105"/>
      <c r="G7" s="120">
        <f>H819</f>
        <v>1791994.5999999999</v>
      </c>
      <c r="H7" s="115" t="s">
        <v>1320</v>
      </c>
      <c r="I7" s="119">
        <f>N819</f>
        <v>1782823.8025</v>
      </c>
      <c r="J7" s="112" t="s">
        <v>1317</v>
      </c>
      <c r="K7" s="126">
        <f>I7/$G$7</f>
        <v>0.99488235204503417</v>
      </c>
      <c r="L7" s="106"/>
      <c r="M7" s="112" t="s">
        <v>1297</v>
      </c>
      <c r="N7" s="188">
        <v>44089</v>
      </c>
      <c r="O7" s="189"/>
      <c r="P7" s="190"/>
      <c r="Q7" s="107"/>
      <c r="T7" s="107"/>
      <c r="U7" s="107"/>
    </row>
    <row r="8" spans="1:21" s="67" customFormat="1" ht="26.25" customHeight="1" x14ac:dyDescent="0.2">
      <c r="A8" s="128" t="s">
        <v>1391</v>
      </c>
      <c r="B8" s="97"/>
      <c r="C8" s="97"/>
      <c r="D8" s="191" t="s">
        <v>1294</v>
      </c>
      <c r="E8" s="191"/>
      <c r="F8" s="98"/>
      <c r="G8" s="117">
        <v>43978</v>
      </c>
      <c r="H8" s="110" t="s">
        <v>1321</v>
      </c>
      <c r="I8" s="118">
        <f>G7-I7</f>
        <v>9170.7974999998696</v>
      </c>
      <c r="J8" s="109" t="s">
        <v>1291</v>
      </c>
      <c r="K8" s="191" t="s">
        <v>1404</v>
      </c>
      <c r="L8" s="191"/>
      <c r="M8" s="191"/>
      <c r="N8" s="191"/>
      <c r="O8" s="191"/>
      <c r="P8" s="191"/>
      <c r="U8" s="57"/>
    </row>
    <row r="9" spans="1:21" s="67" customFormat="1" ht="26.25" customHeight="1" x14ac:dyDescent="0.2">
      <c r="A9" s="102"/>
      <c r="B9" s="103"/>
      <c r="C9" s="103"/>
      <c r="D9" s="121"/>
      <c r="E9" s="121"/>
      <c r="F9" s="114"/>
      <c r="G9" s="122"/>
      <c r="H9" s="123"/>
      <c r="I9" s="124"/>
      <c r="J9" s="125"/>
      <c r="K9" s="121"/>
      <c r="L9" s="121"/>
      <c r="M9" s="121"/>
      <c r="N9" s="121"/>
      <c r="O9" s="121"/>
      <c r="P9" s="121"/>
      <c r="U9" s="57"/>
    </row>
    <row r="10" spans="1:21" s="56" customFormat="1" ht="24" x14ac:dyDescent="0.2">
      <c r="A10" s="69" t="s">
        <v>166</v>
      </c>
      <c r="B10" s="70" t="s">
        <v>4</v>
      </c>
      <c r="C10" s="70" t="s">
        <v>5</v>
      </c>
      <c r="D10" s="70" t="s">
        <v>6</v>
      </c>
      <c r="E10" s="70" t="s">
        <v>7</v>
      </c>
      <c r="F10" s="69" t="s">
        <v>1279</v>
      </c>
      <c r="G10" s="69" t="s">
        <v>168</v>
      </c>
      <c r="H10" s="69" t="s">
        <v>170</v>
      </c>
      <c r="I10" s="70" t="s">
        <v>1390</v>
      </c>
      <c r="J10" s="70" t="s">
        <v>1283</v>
      </c>
      <c r="K10" s="70" t="s">
        <v>1315</v>
      </c>
      <c r="L10" s="69" t="s">
        <v>169</v>
      </c>
      <c r="M10" s="70" t="s">
        <v>1284</v>
      </c>
      <c r="N10" s="70" t="s">
        <v>1285</v>
      </c>
      <c r="O10" s="70" t="s">
        <v>1315</v>
      </c>
      <c r="P10" s="70" t="s">
        <v>1318</v>
      </c>
      <c r="Q10" s="54"/>
      <c r="S10" s="58">
        <f>H819</f>
        <v>1791994.5999999999</v>
      </c>
      <c r="T10" s="53">
        <v>1</v>
      </c>
    </row>
    <row r="11" spans="1:21" s="56" customFormat="1" ht="12" x14ac:dyDescent="0.2">
      <c r="A11" s="72"/>
      <c r="B11" s="70" t="s">
        <v>8</v>
      </c>
      <c r="C11" s="71" t="s">
        <v>9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52"/>
      <c r="S11" s="58">
        <v>1791994.68</v>
      </c>
      <c r="T11" s="52"/>
    </row>
    <row r="12" spans="1:21" s="56" customFormat="1" ht="33.75" customHeight="1" x14ac:dyDescent="0.2">
      <c r="A12" s="72"/>
      <c r="B12" s="70" t="s">
        <v>10</v>
      </c>
      <c r="C12" s="71" t="s">
        <v>11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52"/>
      <c r="T12" s="52"/>
    </row>
    <row r="13" spans="1:21" s="56" customFormat="1" ht="30" customHeight="1" x14ac:dyDescent="0.2">
      <c r="A13" s="94">
        <v>93207</v>
      </c>
      <c r="B13" s="73" t="s">
        <v>12</v>
      </c>
      <c r="C13" s="74" t="s">
        <v>13</v>
      </c>
      <c r="D13" s="73" t="s">
        <v>14</v>
      </c>
      <c r="E13" s="75">
        <v>25.41</v>
      </c>
      <c r="F13" s="75">
        <f>ROUND(T13*$T$10,2)</f>
        <v>596.15</v>
      </c>
      <c r="G13" s="75">
        <f>ROUND(F13*(1+$U$1),2)</f>
        <v>760.63</v>
      </c>
      <c r="H13" s="76">
        <f>ROUND(E13*G13,2)</f>
        <v>19327.61</v>
      </c>
      <c r="I13" s="75"/>
      <c r="J13" s="75">
        <v>25.41</v>
      </c>
      <c r="K13" s="75">
        <f>E13-J13</f>
        <v>0</v>
      </c>
      <c r="L13" s="76">
        <f>ROUND(E13*F13,2)</f>
        <v>15148.17</v>
      </c>
      <c r="M13" s="76">
        <f>I13*G13</f>
        <v>0</v>
      </c>
      <c r="N13" s="76">
        <f>J13*G13</f>
        <v>19327.6083</v>
      </c>
      <c r="O13" s="76">
        <f>H13-N13</f>
        <v>1.7000000007101335E-3</v>
      </c>
      <c r="P13" s="90">
        <f>N13/H13</f>
        <v>0.99999991204292715</v>
      </c>
      <c r="Q13" s="51"/>
      <c r="T13" s="53">
        <v>596.15</v>
      </c>
    </row>
    <row r="14" spans="1:21" s="56" customFormat="1" ht="24" customHeight="1" x14ac:dyDescent="0.2">
      <c r="A14" s="73" t="s">
        <v>15</v>
      </c>
      <c r="B14" s="73" t="s">
        <v>16</v>
      </c>
      <c r="C14" s="74" t="s">
        <v>17</v>
      </c>
      <c r="D14" s="73" t="s">
        <v>14</v>
      </c>
      <c r="E14" s="75">
        <v>3</v>
      </c>
      <c r="F14" s="75">
        <f>ROUND(T14*$T$10,2)</f>
        <v>254.73</v>
      </c>
      <c r="G14" s="75">
        <f>ROUND(F14*(1+$U$1),2)</f>
        <v>325.01</v>
      </c>
      <c r="H14" s="76">
        <f>ROUND(E14*G14,2)</f>
        <v>975.03</v>
      </c>
      <c r="I14" s="75"/>
      <c r="J14" s="75">
        <v>0</v>
      </c>
      <c r="K14" s="75">
        <f>E14-J14</f>
        <v>3</v>
      </c>
      <c r="L14" s="76">
        <f>ROUND(E14*F14,2)</f>
        <v>764.19</v>
      </c>
      <c r="M14" s="76">
        <f>I14*G14</f>
        <v>0</v>
      </c>
      <c r="N14" s="76">
        <f>J14*G14</f>
        <v>0</v>
      </c>
      <c r="O14" s="76">
        <f>H14-N14</f>
        <v>975.03</v>
      </c>
      <c r="P14" s="90">
        <f>N14/H14</f>
        <v>0</v>
      </c>
      <c r="T14" s="53">
        <v>254.73</v>
      </c>
    </row>
    <row r="15" spans="1:21" s="56" customFormat="1" ht="24" x14ac:dyDescent="0.2">
      <c r="A15" s="94">
        <v>92235</v>
      </c>
      <c r="B15" s="73" t="s">
        <v>18</v>
      </c>
      <c r="C15" s="74" t="s">
        <v>19</v>
      </c>
      <c r="D15" s="73" t="s">
        <v>14</v>
      </c>
      <c r="E15" s="75">
        <v>650</v>
      </c>
      <c r="F15" s="75">
        <f>ROUND(T15*$T$10,2)</f>
        <v>49.62</v>
      </c>
      <c r="G15" s="75">
        <f>ROUND(F15*(1+$U$1),2)</f>
        <v>63.31</v>
      </c>
      <c r="H15" s="76">
        <f>ROUND(E15*G15,2)</f>
        <v>41151.5</v>
      </c>
      <c r="I15" s="75"/>
      <c r="J15" s="75">
        <v>650</v>
      </c>
      <c r="K15" s="75">
        <f>E15-J15</f>
        <v>0</v>
      </c>
      <c r="L15" s="76">
        <f>ROUND(E15*F15,2)</f>
        <v>32253</v>
      </c>
      <c r="M15" s="76">
        <f>I15*G15</f>
        <v>0</v>
      </c>
      <c r="N15" s="76">
        <f>J15*G15</f>
        <v>41151.5</v>
      </c>
      <c r="O15" s="76">
        <f>H15-N15</f>
        <v>0</v>
      </c>
      <c r="P15" s="90">
        <f>N15/H15</f>
        <v>1</v>
      </c>
      <c r="Q15" s="51"/>
      <c r="T15" s="53">
        <v>49.62</v>
      </c>
    </row>
    <row r="16" spans="1:21" s="56" customFormat="1" ht="12" x14ac:dyDescent="0.2">
      <c r="A16" s="73" t="s">
        <v>20</v>
      </c>
      <c r="B16" s="73" t="s">
        <v>21</v>
      </c>
      <c r="C16" s="74" t="s">
        <v>22</v>
      </c>
      <c r="D16" s="73" t="s">
        <v>23</v>
      </c>
      <c r="E16" s="75">
        <v>385.84</v>
      </c>
      <c r="F16" s="75">
        <f>ROUND(T16*$T$10,2)</f>
        <v>5.2</v>
      </c>
      <c r="G16" s="75">
        <f>ROUND(F16*(1+$U$1),2)</f>
        <v>6.63</v>
      </c>
      <c r="H16" s="76">
        <f>ROUND(E16*G16,2)</f>
        <v>2558.12</v>
      </c>
      <c r="I16" s="75"/>
      <c r="J16" s="75">
        <v>385.84</v>
      </c>
      <c r="K16" s="75">
        <f>E16-J16</f>
        <v>0</v>
      </c>
      <c r="L16" s="76">
        <f>ROUND(E16*F16,2)</f>
        <v>2006.37</v>
      </c>
      <c r="M16" s="76">
        <f>I16*G16</f>
        <v>0</v>
      </c>
      <c r="N16" s="76">
        <f>J16*G16</f>
        <v>2558.1191999999996</v>
      </c>
      <c r="O16" s="76">
        <f>H16-N16</f>
        <v>8.0000000025393092E-4</v>
      </c>
      <c r="P16" s="90">
        <f>N16/H16</f>
        <v>0.99999968727033905</v>
      </c>
      <c r="Q16" s="51"/>
      <c r="T16" s="53">
        <v>5.2</v>
      </c>
    </row>
    <row r="17" spans="1:20" s="56" customFormat="1" ht="12" x14ac:dyDescent="0.2">
      <c r="A17" s="72"/>
      <c r="B17" s="71"/>
      <c r="C17" s="71"/>
      <c r="D17" s="71"/>
      <c r="E17" s="71"/>
      <c r="F17" s="75"/>
      <c r="G17" s="77" t="s">
        <v>24</v>
      </c>
      <c r="H17" s="78">
        <f>SUM(H13:H16)</f>
        <v>64012.26</v>
      </c>
      <c r="I17" s="71"/>
      <c r="J17" s="75"/>
      <c r="K17" s="71"/>
      <c r="L17" s="78">
        <f>SUM(L13:L16)</f>
        <v>50171.73</v>
      </c>
      <c r="M17" s="78">
        <f>SUM(M13:M16)</f>
        <v>0</v>
      </c>
      <c r="N17" s="78">
        <f>SUM(N13:N16)</f>
        <v>63037.227500000001</v>
      </c>
      <c r="O17" s="78">
        <f>SUM(O13:O16)</f>
        <v>975.03250000000094</v>
      </c>
      <c r="P17" s="91">
        <f>N17/H17</f>
        <v>0.9847680350607837</v>
      </c>
      <c r="Q17" s="60"/>
      <c r="R17" s="58"/>
      <c r="T17" s="59"/>
    </row>
    <row r="18" spans="1:20" s="56" customFormat="1" ht="15.75" customHeight="1" x14ac:dyDescent="0.2">
      <c r="A18" s="72"/>
      <c r="B18" s="70" t="s">
        <v>25</v>
      </c>
      <c r="C18" s="71" t="s">
        <v>26</v>
      </c>
      <c r="D18" s="72"/>
      <c r="E18" s="72"/>
      <c r="F18" s="75"/>
      <c r="G18" s="72"/>
      <c r="H18" s="72"/>
      <c r="I18" s="72"/>
      <c r="J18" s="75"/>
      <c r="K18" s="72"/>
      <c r="L18" s="72"/>
      <c r="M18" s="72"/>
      <c r="N18" s="72"/>
      <c r="O18" s="72"/>
      <c r="P18" s="72"/>
      <c r="Q18" s="52" t="s">
        <v>1290</v>
      </c>
      <c r="T18" s="52"/>
    </row>
    <row r="19" spans="1:20" s="56" customFormat="1" ht="12" x14ac:dyDescent="0.2">
      <c r="A19" s="72"/>
      <c r="B19" s="70" t="s">
        <v>27</v>
      </c>
      <c r="C19" s="71" t="s">
        <v>1262</v>
      </c>
      <c r="D19" s="72"/>
      <c r="E19" s="72"/>
      <c r="F19" s="75"/>
      <c r="G19" s="72"/>
      <c r="H19" s="72"/>
      <c r="I19" s="72"/>
      <c r="J19" s="75"/>
      <c r="K19" s="72"/>
      <c r="L19" s="72"/>
      <c r="M19" s="72"/>
      <c r="N19" s="72"/>
      <c r="O19" s="72"/>
      <c r="P19" s="72"/>
      <c r="Q19" s="52"/>
      <c r="T19" s="52"/>
    </row>
    <row r="20" spans="1:20" s="56" customFormat="1" ht="12" customHeight="1" x14ac:dyDescent="0.2">
      <c r="A20" s="94">
        <v>94965</v>
      </c>
      <c r="B20" s="73" t="s">
        <v>29</v>
      </c>
      <c r="C20" s="74" t="s">
        <v>30</v>
      </c>
      <c r="D20" s="69" t="s">
        <v>171</v>
      </c>
      <c r="E20" s="75">
        <v>7.82</v>
      </c>
      <c r="F20" s="75">
        <f>ROUND(T20*$T$10,2)</f>
        <v>302.64</v>
      </c>
      <c r="G20" s="75">
        <f>ROUND(F20*(1+$U$1),2)</f>
        <v>386.14</v>
      </c>
      <c r="H20" s="76">
        <f>ROUND(E20*G20,2)</f>
        <v>3019.61</v>
      </c>
      <c r="I20" s="75"/>
      <c r="J20" s="75">
        <v>7.82</v>
      </c>
      <c r="K20" s="75">
        <f>E20-J20</f>
        <v>0</v>
      </c>
      <c r="L20" s="76">
        <f>ROUND(E20*F20,2)</f>
        <v>2366.64</v>
      </c>
      <c r="M20" s="76">
        <f>I20*G20</f>
        <v>0</v>
      </c>
      <c r="N20" s="76">
        <f>J20*G20</f>
        <v>3019.6147999999998</v>
      </c>
      <c r="O20" s="76">
        <f>H20-N20</f>
        <v>-4.7999999997045961E-3</v>
      </c>
      <c r="P20" s="90">
        <f>N20/H20</f>
        <v>1.000001589609254</v>
      </c>
      <c r="Q20" s="51"/>
      <c r="T20" s="53">
        <v>302.64</v>
      </c>
    </row>
    <row r="21" spans="1:20" s="56" customFormat="1" ht="24" customHeight="1" x14ac:dyDescent="0.2">
      <c r="A21" s="94">
        <v>92873</v>
      </c>
      <c r="B21" s="73" t="s">
        <v>31</v>
      </c>
      <c r="C21" s="74" t="s">
        <v>32</v>
      </c>
      <c r="D21" s="69" t="s">
        <v>171</v>
      </c>
      <c r="E21" s="75">
        <v>7.82</v>
      </c>
      <c r="F21" s="75">
        <f>ROUND(T21*$T$10,2)</f>
        <v>135.94</v>
      </c>
      <c r="G21" s="75">
        <f>ROUND(F21*(1+$U$1),2)</f>
        <v>173.45</v>
      </c>
      <c r="H21" s="76">
        <f>ROUND(E21*G21,2)</f>
        <v>1356.38</v>
      </c>
      <c r="I21" s="75"/>
      <c r="J21" s="75">
        <v>7.82</v>
      </c>
      <c r="K21" s="75">
        <f t="shared" ref="K21:K28" si="0">E21-J21</f>
        <v>0</v>
      </c>
      <c r="L21" s="76">
        <f>ROUND(E21*F21,2)</f>
        <v>1063.05</v>
      </c>
      <c r="M21" s="76">
        <f>I21*G21</f>
        <v>0</v>
      </c>
      <c r="N21" s="76">
        <f>J21*G21</f>
        <v>1356.3789999999999</v>
      </c>
      <c r="O21" s="76">
        <f>H21-N21</f>
        <v>1.0000000002037268E-3</v>
      </c>
      <c r="P21" s="90">
        <f>N21/H21</f>
        <v>0.99999926274347883</v>
      </c>
      <c r="Q21" s="51"/>
      <c r="T21" s="53">
        <v>135.94</v>
      </c>
    </row>
    <row r="22" spans="1:20" s="56" customFormat="1" ht="19.5" customHeight="1" x14ac:dyDescent="0.2">
      <c r="A22" s="94">
        <v>92762</v>
      </c>
      <c r="B22" s="73" t="s">
        <v>33</v>
      </c>
      <c r="C22" s="74" t="s">
        <v>34</v>
      </c>
      <c r="D22" s="73" t="s">
        <v>35</v>
      </c>
      <c r="E22" s="75">
        <v>106.97</v>
      </c>
      <c r="F22" s="75">
        <f>ROUND(T22*$T$10,2)</f>
        <v>5.86</v>
      </c>
      <c r="G22" s="75">
        <f>ROUND(F22*(1+$U$1),2)</f>
        <v>7.48</v>
      </c>
      <c r="H22" s="76">
        <f>ROUND(E22*G22,2)</f>
        <v>800.14</v>
      </c>
      <c r="I22" s="75"/>
      <c r="J22" s="75">
        <v>106.97</v>
      </c>
      <c r="K22" s="75">
        <f t="shared" si="0"/>
        <v>0</v>
      </c>
      <c r="L22" s="76">
        <f>ROUND(E22*F22,2)</f>
        <v>626.84</v>
      </c>
      <c r="M22" s="76">
        <f>I22*G22</f>
        <v>0</v>
      </c>
      <c r="N22" s="76">
        <f>J22*G22</f>
        <v>800.13560000000007</v>
      </c>
      <c r="O22" s="76">
        <f>H22-N22</f>
        <v>4.3999999999186912E-3</v>
      </c>
      <c r="P22" s="90">
        <f>N22/H22</f>
        <v>0.99999450096233167</v>
      </c>
      <c r="Q22" s="51"/>
      <c r="T22" s="53">
        <v>5.86</v>
      </c>
    </row>
    <row r="23" spans="1:20" s="56" customFormat="1" ht="24" x14ac:dyDescent="0.2">
      <c r="A23" s="94">
        <v>96523</v>
      </c>
      <c r="B23" s="73" t="s">
        <v>36</v>
      </c>
      <c r="C23" s="74" t="s">
        <v>37</v>
      </c>
      <c r="D23" s="69" t="s">
        <v>171</v>
      </c>
      <c r="E23" s="75">
        <v>17.05</v>
      </c>
      <c r="F23" s="75">
        <f>ROUND(T23*$T$10,2)</f>
        <v>59.37</v>
      </c>
      <c r="G23" s="75">
        <f>ROUND(F23*(1+$U$1),2)</f>
        <v>75.75</v>
      </c>
      <c r="H23" s="76">
        <f>ROUND(E23*G23,2)</f>
        <v>1291.54</v>
      </c>
      <c r="I23" s="75"/>
      <c r="J23" s="75">
        <v>17.05</v>
      </c>
      <c r="K23" s="75">
        <f t="shared" si="0"/>
        <v>0</v>
      </c>
      <c r="L23" s="76">
        <f>ROUND(E23*F23,2)</f>
        <v>1012.26</v>
      </c>
      <c r="M23" s="76">
        <f>I23*G23</f>
        <v>0</v>
      </c>
      <c r="N23" s="76">
        <f>J23*G23</f>
        <v>1291.5375000000001</v>
      </c>
      <c r="O23" s="76">
        <f>H23-N23</f>
        <v>2.499999999827196E-3</v>
      </c>
      <c r="P23" s="90">
        <f>N23/H23</f>
        <v>0.99999806432630822</v>
      </c>
      <c r="Q23" s="51"/>
      <c r="T23" s="53">
        <v>59.37</v>
      </c>
    </row>
    <row r="24" spans="1:20" s="56" customFormat="1" ht="12" x14ac:dyDescent="0.2">
      <c r="A24" s="72"/>
      <c r="B24" s="70" t="s">
        <v>1263</v>
      </c>
      <c r="C24" s="71" t="s">
        <v>28</v>
      </c>
      <c r="D24" s="72"/>
      <c r="E24" s="72"/>
      <c r="F24" s="75"/>
      <c r="G24" s="72"/>
      <c r="H24" s="72"/>
      <c r="I24" s="72"/>
      <c r="J24" s="75"/>
      <c r="K24" s="75"/>
      <c r="L24" s="72"/>
      <c r="M24" s="72"/>
      <c r="N24" s="72"/>
      <c r="O24" s="72"/>
      <c r="P24" s="72"/>
      <c r="Q24" s="52"/>
      <c r="T24" s="52"/>
    </row>
    <row r="25" spans="1:20" s="56" customFormat="1" ht="13.5" x14ac:dyDescent="0.2">
      <c r="A25" s="94">
        <v>94965</v>
      </c>
      <c r="B25" s="73" t="s">
        <v>1264</v>
      </c>
      <c r="C25" s="74" t="s">
        <v>30</v>
      </c>
      <c r="D25" s="69" t="s">
        <v>171</v>
      </c>
      <c r="E25" s="75">
        <v>6.16</v>
      </c>
      <c r="F25" s="75">
        <f>ROUND(T25*$T$10,2)</f>
        <v>302.64</v>
      </c>
      <c r="G25" s="75">
        <f>ROUND(F25*(1+$U$1),2)</f>
        <v>386.14</v>
      </c>
      <c r="H25" s="76">
        <f>ROUND(E25*G25,2)</f>
        <v>2378.62</v>
      </c>
      <c r="I25" s="75"/>
      <c r="J25" s="75">
        <v>6.16</v>
      </c>
      <c r="K25" s="75">
        <f t="shared" si="0"/>
        <v>0</v>
      </c>
      <c r="L25" s="76">
        <f>ROUND(E25*F25,2)</f>
        <v>1864.26</v>
      </c>
      <c r="M25" s="76">
        <f>I25*G25</f>
        <v>0</v>
      </c>
      <c r="N25" s="76">
        <f>J25*G25</f>
        <v>2378.6224000000002</v>
      </c>
      <c r="O25" s="76">
        <f>H25-N25</f>
        <v>-2.4000000003070454E-3</v>
      </c>
      <c r="P25" s="90">
        <f>N25/H25</f>
        <v>1.0000010089884053</v>
      </c>
      <c r="Q25" s="51"/>
      <c r="T25" s="53">
        <v>302.64</v>
      </c>
    </row>
    <row r="26" spans="1:20" s="56" customFormat="1" ht="24" x14ac:dyDescent="0.2">
      <c r="A26" s="94">
        <v>92873</v>
      </c>
      <c r="B26" s="73" t="s">
        <v>1265</v>
      </c>
      <c r="C26" s="74" t="s">
        <v>32</v>
      </c>
      <c r="D26" s="69" t="s">
        <v>171</v>
      </c>
      <c r="E26" s="75">
        <v>6.16</v>
      </c>
      <c r="F26" s="75">
        <f>ROUND(T26*$T$10,2)</f>
        <v>135.94</v>
      </c>
      <c r="G26" s="75">
        <f>ROUND(F26*(1+$U$1),2)</f>
        <v>173.45</v>
      </c>
      <c r="H26" s="76">
        <f>ROUND(E26*G26,2)</f>
        <v>1068.45</v>
      </c>
      <c r="I26" s="75"/>
      <c r="J26" s="75">
        <v>6.16</v>
      </c>
      <c r="K26" s="75">
        <f t="shared" si="0"/>
        <v>0</v>
      </c>
      <c r="L26" s="76">
        <f>ROUND(E26*F26,2)</f>
        <v>837.39</v>
      </c>
      <c r="M26" s="76">
        <f>I26*G26</f>
        <v>0</v>
      </c>
      <c r="N26" s="76">
        <f>J26*G26</f>
        <v>1068.452</v>
      </c>
      <c r="O26" s="76">
        <f>H26-N26</f>
        <v>-1.9999999999527063E-3</v>
      </c>
      <c r="P26" s="90">
        <f>N26/H26</f>
        <v>1.0000018718704666</v>
      </c>
      <c r="Q26" s="51"/>
      <c r="T26" s="53">
        <v>135.94</v>
      </c>
    </row>
    <row r="27" spans="1:20" s="56" customFormat="1" ht="12" x14ac:dyDescent="0.2">
      <c r="A27" s="94">
        <v>92762</v>
      </c>
      <c r="B27" s="73" t="s">
        <v>1266</v>
      </c>
      <c r="C27" s="74" t="s">
        <v>34</v>
      </c>
      <c r="D27" s="73" t="s">
        <v>35</v>
      </c>
      <c r="E27" s="75">
        <v>296</v>
      </c>
      <c r="F27" s="75">
        <f>ROUND(T27*$T$10,2)</f>
        <v>5.86</v>
      </c>
      <c r="G27" s="75">
        <f>ROUND(F27*(1+$U$1),2)</f>
        <v>7.48</v>
      </c>
      <c r="H27" s="76">
        <f>ROUND(E27*G27,2)</f>
        <v>2214.08</v>
      </c>
      <c r="I27" s="75"/>
      <c r="J27" s="75">
        <v>296</v>
      </c>
      <c r="K27" s="75">
        <f t="shared" si="0"/>
        <v>0</v>
      </c>
      <c r="L27" s="76">
        <f>ROUND(E27*F27,2)</f>
        <v>1734.56</v>
      </c>
      <c r="M27" s="76">
        <f>I27*G27</f>
        <v>0</v>
      </c>
      <c r="N27" s="76">
        <f>J27*G27</f>
        <v>2214.08</v>
      </c>
      <c r="O27" s="76">
        <f>H27-N27</f>
        <v>0</v>
      </c>
      <c r="P27" s="90">
        <f>N27/H27</f>
        <v>1</v>
      </c>
      <c r="Q27" s="51"/>
      <c r="T27" s="53">
        <v>5.86</v>
      </c>
    </row>
    <row r="28" spans="1:20" s="56" customFormat="1" ht="24" x14ac:dyDescent="0.2">
      <c r="A28" s="94">
        <v>96523</v>
      </c>
      <c r="B28" s="73" t="s">
        <v>1267</v>
      </c>
      <c r="C28" s="74" t="s">
        <v>37</v>
      </c>
      <c r="D28" s="69" t="s">
        <v>171</v>
      </c>
      <c r="E28" s="75">
        <v>88</v>
      </c>
      <c r="F28" s="75">
        <f>ROUND(T28*$T$10,2)</f>
        <v>59.37</v>
      </c>
      <c r="G28" s="75">
        <f>ROUND(F28*(1+$U$1),2)</f>
        <v>75.75</v>
      </c>
      <c r="H28" s="76">
        <f>ROUND(E28*G28,2)</f>
        <v>6666</v>
      </c>
      <c r="I28" s="75"/>
      <c r="J28" s="75">
        <v>88</v>
      </c>
      <c r="K28" s="75">
        <f t="shared" si="0"/>
        <v>0</v>
      </c>
      <c r="L28" s="76">
        <f>ROUND(E28*F28,2)</f>
        <v>5224.5600000000004</v>
      </c>
      <c r="M28" s="76">
        <f>I28*G28</f>
        <v>0</v>
      </c>
      <c r="N28" s="76">
        <f>J28*G28</f>
        <v>6666</v>
      </c>
      <c r="O28" s="76">
        <f>H28-N28</f>
        <v>0</v>
      </c>
      <c r="P28" s="90">
        <f>N28/H28</f>
        <v>1</v>
      </c>
      <c r="Q28" s="51"/>
      <c r="T28" s="53">
        <v>59.37</v>
      </c>
    </row>
    <row r="29" spans="1:20" s="56" customFormat="1" ht="12" customHeight="1" x14ac:dyDescent="0.2">
      <c r="A29" s="72"/>
      <c r="B29" s="71"/>
      <c r="C29" s="71"/>
      <c r="D29" s="71"/>
      <c r="E29" s="71"/>
      <c r="F29" s="75"/>
      <c r="G29" s="77" t="s">
        <v>38</v>
      </c>
      <c r="H29" s="78">
        <f>SUM(H20:H28)</f>
        <v>18794.82</v>
      </c>
      <c r="I29" s="71"/>
      <c r="J29" s="75"/>
      <c r="K29" s="71"/>
      <c r="L29" s="78">
        <f>SUM(L20:L28)</f>
        <v>14729.560000000001</v>
      </c>
      <c r="M29" s="78">
        <f>SUM(M20:M28)</f>
        <v>0</v>
      </c>
      <c r="N29" s="78">
        <f>SUM(N20:N28)</f>
        <v>18794.8213</v>
      </c>
      <c r="O29" s="78">
        <f>SUM(O20:O28)</f>
        <v>-1.3000000000147338E-3</v>
      </c>
      <c r="P29" s="91">
        <f>N29/H29</f>
        <v>1.0000000691679942</v>
      </c>
      <c r="Q29" s="60"/>
      <c r="R29" s="58"/>
      <c r="T29" s="59"/>
    </row>
    <row r="30" spans="1:20" s="56" customFormat="1" ht="12" x14ac:dyDescent="0.2">
      <c r="A30" s="72"/>
      <c r="B30" s="70" t="s">
        <v>39</v>
      </c>
      <c r="C30" s="71" t="s">
        <v>40</v>
      </c>
      <c r="D30" s="72"/>
      <c r="E30" s="72"/>
      <c r="F30" s="75"/>
      <c r="G30" s="72"/>
      <c r="H30" s="72"/>
      <c r="I30" s="72"/>
      <c r="J30" s="75"/>
      <c r="K30" s="72"/>
      <c r="L30" s="72"/>
      <c r="M30" s="72"/>
      <c r="N30" s="72"/>
      <c r="O30" s="72"/>
      <c r="P30" s="72"/>
      <c r="Q30" s="52"/>
      <c r="T30" s="52"/>
    </row>
    <row r="31" spans="1:20" s="56" customFormat="1" ht="12" x14ac:dyDescent="0.2">
      <c r="A31" s="72"/>
      <c r="B31" s="70" t="s">
        <v>41</v>
      </c>
      <c r="C31" s="71" t="s">
        <v>42</v>
      </c>
      <c r="D31" s="72"/>
      <c r="E31" s="72"/>
      <c r="F31" s="75"/>
      <c r="G31" s="72"/>
      <c r="H31" s="72"/>
      <c r="I31" s="72"/>
      <c r="J31" s="75"/>
      <c r="K31" s="72"/>
      <c r="L31" s="72"/>
      <c r="M31" s="72"/>
      <c r="N31" s="72"/>
      <c r="O31" s="72"/>
      <c r="P31" s="72"/>
      <c r="Q31" s="52"/>
      <c r="T31" s="52"/>
    </row>
    <row r="32" spans="1:20" s="56" customFormat="1" ht="12" x14ac:dyDescent="0.2">
      <c r="A32" s="94">
        <v>92265</v>
      </c>
      <c r="B32" s="73" t="s">
        <v>43</v>
      </c>
      <c r="C32" s="74" t="s">
        <v>44</v>
      </c>
      <c r="D32" s="73" t="s">
        <v>14</v>
      </c>
      <c r="E32" s="75">
        <v>142.72</v>
      </c>
      <c r="F32" s="75">
        <f>ROUND(T32*$T$10,2)</f>
        <v>60.66</v>
      </c>
      <c r="G32" s="75">
        <f>ROUND(F32*(1+$U$1),2)</f>
        <v>77.400000000000006</v>
      </c>
      <c r="H32" s="76">
        <f>ROUND(E32*G32,2)</f>
        <v>11046.53</v>
      </c>
      <c r="I32" s="75"/>
      <c r="J32" s="75">
        <v>142.72</v>
      </c>
      <c r="K32" s="75">
        <f t="shared" ref="K32:K50" si="1">E32-J32</f>
        <v>0</v>
      </c>
      <c r="L32" s="76">
        <f>ROUND(E32*F32,2)</f>
        <v>8657.4</v>
      </c>
      <c r="M32" s="76">
        <f>I32*G32</f>
        <v>0</v>
      </c>
      <c r="N32" s="76">
        <f>ROUND(J32*G32,2)</f>
        <v>11046.53</v>
      </c>
      <c r="O32" s="76">
        <f>H32-N32</f>
        <v>0</v>
      </c>
      <c r="P32" s="90">
        <f>N32/H32</f>
        <v>1</v>
      </c>
      <c r="Q32" s="51"/>
      <c r="T32" s="53">
        <v>60.66</v>
      </c>
    </row>
    <row r="33" spans="1:20" s="56" customFormat="1" ht="12" x14ac:dyDescent="0.2">
      <c r="A33" s="94">
        <v>92762</v>
      </c>
      <c r="B33" s="73" t="s">
        <v>45</v>
      </c>
      <c r="C33" s="74" t="s">
        <v>46</v>
      </c>
      <c r="D33" s="73" t="s">
        <v>35</v>
      </c>
      <c r="E33" s="75">
        <v>884.82</v>
      </c>
      <c r="F33" s="75">
        <f>ROUND(T33*$T$10,2)</f>
        <v>5.86</v>
      </c>
      <c r="G33" s="75">
        <f>ROUND(F33*(1+$U$1),2)</f>
        <v>7.48</v>
      </c>
      <c r="H33" s="76">
        <f>ROUND(E33*G33,2)</f>
        <v>6618.45</v>
      </c>
      <c r="I33" s="75"/>
      <c r="J33" s="75">
        <v>884.81999999999994</v>
      </c>
      <c r="K33" s="75">
        <f t="shared" si="1"/>
        <v>0</v>
      </c>
      <c r="L33" s="76">
        <f>ROUND(E33*F33,2)</f>
        <v>5185.05</v>
      </c>
      <c r="M33" s="76">
        <f>I33*G33</f>
        <v>0</v>
      </c>
      <c r="N33" s="76">
        <f t="shared" ref="N33:N50" si="2">ROUND(J33*G33,2)</f>
        <v>6618.45</v>
      </c>
      <c r="O33" s="76">
        <f>H33-N33</f>
        <v>0</v>
      </c>
      <c r="P33" s="90">
        <f>N33/H33</f>
        <v>1</v>
      </c>
      <c r="Q33" s="51"/>
      <c r="T33" s="53">
        <v>5.86</v>
      </c>
    </row>
    <row r="34" spans="1:20" s="56" customFormat="1" ht="12" x14ac:dyDescent="0.2">
      <c r="A34" s="94">
        <v>94965</v>
      </c>
      <c r="B34" s="73" t="s">
        <v>47</v>
      </c>
      <c r="C34" s="74" t="s">
        <v>30</v>
      </c>
      <c r="D34" s="73" t="s">
        <v>48</v>
      </c>
      <c r="E34" s="75">
        <v>10.88</v>
      </c>
      <c r="F34" s="75">
        <f>ROUND(T34*$T$10,2)</f>
        <v>302.64</v>
      </c>
      <c r="G34" s="75">
        <f>ROUND(F34*(1+$U$1),2)</f>
        <v>386.14</v>
      </c>
      <c r="H34" s="76">
        <f>ROUND(E34*G34,2)</f>
        <v>4201.2</v>
      </c>
      <c r="I34" s="75"/>
      <c r="J34" s="75">
        <v>10.88</v>
      </c>
      <c r="K34" s="75">
        <f t="shared" si="1"/>
        <v>0</v>
      </c>
      <c r="L34" s="76">
        <f>ROUND(E34*F34,2)</f>
        <v>3292.72</v>
      </c>
      <c r="M34" s="76">
        <f>I34*G34</f>
        <v>0</v>
      </c>
      <c r="N34" s="76">
        <f t="shared" si="2"/>
        <v>4201.2</v>
      </c>
      <c r="O34" s="76">
        <f>H34-N34</f>
        <v>0</v>
      </c>
      <c r="P34" s="90">
        <f>N34/H34</f>
        <v>1</v>
      </c>
      <c r="Q34" s="51"/>
      <c r="T34" s="53">
        <v>302.64</v>
      </c>
    </row>
    <row r="35" spans="1:20" s="56" customFormat="1" ht="24" x14ac:dyDescent="0.2">
      <c r="A35" s="94">
        <v>92873</v>
      </c>
      <c r="B35" s="73" t="s">
        <v>49</v>
      </c>
      <c r="C35" s="74" t="s">
        <v>32</v>
      </c>
      <c r="D35" s="73" t="s">
        <v>48</v>
      </c>
      <c r="E35" s="75">
        <v>10.88</v>
      </c>
      <c r="F35" s="75">
        <f>ROUND(T35*$T$10,2)</f>
        <v>135.94</v>
      </c>
      <c r="G35" s="75">
        <f>ROUND(F35*(1+$U$1),2)</f>
        <v>173.45</v>
      </c>
      <c r="H35" s="76">
        <f>ROUND(E35*G35,2)</f>
        <v>1887.14</v>
      </c>
      <c r="I35" s="75"/>
      <c r="J35" s="75">
        <v>10.88</v>
      </c>
      <c r="K35" s="75">
        <f t="shared" si="1"/>
        <v>0</v>
      </c>
      <c r="L35" s="76">
        <f>ROUND(E35*F35,2)</f>
        <v>1479.03</v>
      </c>
      <c r="M35" s="76">
        <f>I35*G35</f>
        <v>0</v>
      </c>
      <c r="N35" s="76">
        <f t="shared" si="2"/>
        <v>1887.14</v>
      </c>
      <c r="O35" s="76">
        <f>H35-N35</f>
        <v>0</v>
      </c>
      <c r="P35" s="90">
        <f>N35/H35</f>
        <v>1</v>
      </c>
      <c r="Q35" s="51"/>
      <c r="T35" s="53">
        <v>135.94</v>
      </c>
    </row>
    <row r="36" spans="1:20" s="56" customFormat="1" ht="12" x14ac:dyDescent="0.2">
      <c r="A36" s="72"/>
      <c r="B36" s="70" t="s">
        <v>50</v>
      </c>
      <c r="C36" s="71" t="s">
        <v>51</v>
      </c>
      <c r="D36" s="72"/>
      <c r="E36" s="72"/>
      <c r="F36" s="75"/>
      <c r="G36" s="72"/>
      <c r="H36" s="72"/>
      <c r="I36" s="72"/>
      <c r="J36" s="75"/>
      <c r="K36" s="75">
        <f t="shared" si="1"/>
        <v>0</v>
      </c>
      <c r="L36" s="72"/>
      <c r="M36" s="72"/>
      <c r="N36" s="76">
        <f t="shared" si="2"/>
        <v>0</v>
      </c>
      <c r="O36" s="72"/>
      <c r="P36" s="72"/>
      <c r="Q36" s="52"/>
      <c r="T36" s="52"/>
    </row>
    <row r="37" spans="1:20" s="56" customFormat="1" ht="12" x14ac:dyDescent="0.2">
      <c r="A37" s="94">
        <v>92265</v>
      </c>
      <c r="B37" s="73" t="s">
        <v>52</v>
      </c>
      <c r="C37" s="74" t="s">
        <v>44</v>
      </c>
      <c r="D37" s="73" t="s">
        <v>14</v>
      </c>
      <c r="E37" s="75">
        <v>721.28</v>
      </c>
      <c r="F37" s="75">
        <f>ROUND(T37*$T$10,2)</f>
        <v>60.66</v>
      </c>
      <c r="G37" s="75">
        <f>ROUND(F37*(1+$U$1),2)</f>
        <v>77.400000000000006</v>
      </c>
      <c r="H37" s="76">
        <f>ROUND(E37*G37,2)</f>
        <v>55827.07</v>
      </c>
      <c r="I37" s="75"/>
      <c r="J37" s="75">
        <v>721.28</v>
      </c>
      <c r="K37" s="75">
        <f t="shared" si="1"/>
        <v>0</v>
      </c>
      <c r="L37" s="76">
        <f>ROUND(E37*F37,2)</f>
        <v>43752.84</v>
      </c>
      <c r="M37" s="76">
        <f>I37*G37</f>
        <v>0</v>
      </c>
      <c r="N37" s="76">
        <f t="shared" si="2"/>
        <v>55827.07</v>
      </c>
      <c r="O37" s="76">
        <f>H37-N37</f>
        <v>0</v>
      </c>
      <c r="P37" s="90">
        <f>N37/H37</f>
        <v>1</v>
      </c>
      <c r="Q37" s="51"/>
      <c r="T37" s="53">
        <v>60.66</v>
      </c>
    </row>
    <row r="38" spans="1:20" s="56" customFormat="1" ht="12" x14ac:dyDescent="0.2">
      <c r="A38" s="94">
        <v>92762</v>
      </c>
      <c r="B38" s="73" t="s">
        <v>53</v>
      </c>
      <c r="C38" s="74" t="s">
        <v>46</v>
      </c>
      <c r="D38" s="73" t="s">
        <v>35</v>
      </c>
      <c r="E38" s="76">
        <v>2439.4499999999998</v>
      </c>
      <c r="F38" s="75">
        <f>ROUND(T38*$T$10,2)</f>
        <v>5.86</v>
      </c>
      <c r="G38" s="75">
        <f>ROUND(F38*(1+$U$1),2)</f>
        <v>7.48</v>
      </c>
      <c r="H38" s="76">
        <f>ROUND(E38*G38,2)</f>
        <v>18247.09</v>
      </c>
      <c r="I38" s="129"/>
      <c r="J38" s="75">
        <v>2439.4499999999998</v>
      </c>
      <c r="K38" s="75">
        <f t="shared" si="1"/>
        <v>0</v>
      </c>
      <c r="L38" s="76">
        <f>ROUND(E38*F38,2)</f>
        <v>14295.18</v>
      </c>
      <c r="M38" s="76">
        <f>I38*G38</f>
        <v>0</v>
      </c>
      <c r="N38" s="76">
        <f t="shared" si="2"/>
        <v>18247.09</v>
      </c>
      <c r="O38" s="76">
        <f>H38-N38</f>
        <v>0</v>
      </c>
      <c r="P38" s="90">
        <f>N38/H38</f>
        <v>1</v>
      </c>
      <c r="Q38" s="51"/>
      <c r="T38" s="53">
        <v>5.86</v>
      </c>
    </row>
    <row r="39" spans="1:20" s="56" customFormat="1" ht="12" x14ac:dyDescent="0.2">
      <c r="A39" s="94">
        <v>94965</v>
      </c>
      <c r="B39" s="73" t="s">
        <v>54</v>
      </c>
      <c r="C39" s="74" t="s">
        <v>30</v>
      </c>
      <c r="D39" s="73" t="s">
        <v>48</v>
      </c>
      <c r="E39" s="75">
        <v>45.07</v>
      </c>
      <c r="F39" s="75">
        <f>ROUND(T39*$T$10,2)</f>
        <v>302.64</v>
      </c>
      <c r="G39" s="75">
        <f>ROUND(F39*(1+$U$1),2)</f>
        <v>386.14</v>
      </c>
      <c r="H39" s="76">
        <f>ROUND(E39*G39,2)</f>
        <v>17403.330000000002</v>
      </c>
      <c r="I39" s="75"/>
      <c r="J39" s="75">
        <v>45.072000000000003</v>
      </c>
      <c r="K39" s="75">
        <f t="shared" si="1"/>
        <v>-2.0000000000024443E-3</v>
      </c>
      <c r="L39" s="76">
        <f>ROUND(E39*F39,2)</f>
        <v>13639.98</v>
      </c>
      <c r="M39" s="76">
        <f>I39*G39</f>
        <v>0</v>
      </c>
      <c r="N39" s="76">
        <f t="shared" si="2"/>
        <v>17404.099999999999</v>
      </c>
      <c r="O39" s="76">
        <f>H39-N39</f>
        <v>-0.76999999999679858</v>
      </c>
      <c r="P39" s="90">
        <f>N39/H39</f>
        <v>1.0000442444060991</v>
      </c>
      <c r="Q39" s="51"/>
      <c r="T39" s="53">
        <v>302.64</v>
      </c>
    </row>
    <row r="40" spans="1:20" s="56" customFormat="1" ht="24" x14ac:dyDescent="0.2">
      <c r="A40" s="94">
        <v>92873</v>
      </c>
      <c r="B40" s="73" t="s">
        <v>55</v>
      </c>
      <c r="C40" s="74" t="s">
        <v>32</v>
      </c>
      <c r="D40" s="73" t="s">
        <v>48</v>
      </c>
      <c r="E40" s="75">
        <v>45.07</v>
      </c>
      <c r="F40" s="75">
        <f>ROUND(T40*$T$10,2)</f>
        <v>135.94</v>
      </c>
      <c r="G40" s="75">
        <f>ROUND(F40*(1+$U$1),2)</f>
        <v>173.45</v>
      </c>
      <c r="H40" s="76">
        <f>ROUND(E40*G40,2)</f>
        <v>7817.39</v>
      </c>
      <c r="I40" s="75"/>
      <c r="J40" s="75">
        <v>45.071899999999999</v>
      </c>
      <c r="K40" s="75">
        <f t="shared" si="1"/>
        <v>-1.8999999999991246E-3</v>
      </c>
      <c r="L40" s="76">
        <f>ROUND(E40*F40,2)</f>
        <v>6126.82</v>
      </c>
      <c r="M40" s="76">
        <f>I40*G40</f>
        <v>0</v>
      </c>
      <c r="N40" s="76">
        <f t="shared" si="2"/>
        <v>7817.72</v>
      </c>
      <c r="O40" s="76">
        <f>H40-N40</f>
        <v>-0.32999999999992724</v>
      </c>
      <c r="P40" s="90">
        <f>N40/H40</f>
        <v>1.0000422135776774</v>
      </c>
      <c r="Q40" s="51"/>
      <c r="T40" s="53">
        <v>135.94</v>
      </c>
    </row>
    <row r="41" spans="1:20" s="56" customFormat="1" ht="12" x14ac:dyDescent="0.2">
      <c r="A41" s="72"/>
      <c r="B41" s="70" t="s">
        <v>56</v>
      </c>
      <c r="C41" s="71" t="s">
        <v>57</v>
      </c>
      <c r="D41" s="72"/>
      <c r="E41" s="72"/>
      <c r="F41" s="75"/>
      <c r="G41" s="72"/>
      <c r="H41" s="72"/>
      <c r="I41" s="72"/>
      <c r="J41" s="75"/>
      <c r="K41" s="75"/>
      <c r="L41" s="72"/>
      <c r="M41" s="72"/>
      <c r="N41" s="76">
        <f t="shared" si="2"/>
        <v>0</v>
      </c>
      <c r="O41" s="76"/>
      <c r="P41" s="90"/>
      <c r="Q41" s="52"/>
      <c r="T41" s="52"/>
    </row>
    <row r="42" spans="1:20" s="56" customFormat="1" ht="24" x14ac:dyDescent="0.2">
      <c r="A42" s="73" t="s">
        <v>58</v>
      </c>
      <c r="B42" s="73" t="s">
        <v>59</v>
      </c>
      <c r="C42" s="74" t="s">
        <v>60</v>
      </c>
      <c r="D42" s="73" t="s">
        <v>14</v>
      </c>
      <c r="E42" s="76">
        <v>1036</v>
      </c>
      <c r="F42" s="75">
        <f>ROUND(T42*$T$10,2)</f>
        <v>62.75</v>
      </c>
      <c r="G42" s="75">
        <f>ROUND(F42*(1+$U$1),2)</f>
        <v>80.06</v>
      </c>
      <c r="H42" s="76">
        <f>ROUND(E42*G42,2)</f>
        <v>82942.16</v>
      </c>
      <c r="I42" s="76"/>
      <c r="J42" s="75">
        <v>1036</v>
      </c>
      <c r="K42" s="75">
        <f t="shared" si="1"/>
        <v>0</v>
      </c>
      <c r="L42" s="76">
        <f>ROUND(E42*F42,2)</f>
        <v>65009</v>
      </c>
      <c r="M42" s="76">
        <f>I42*G42</f>
        <v>0</v>
      </c>
      <c r="N42" s="76">
        <f t="shared" si="2"/>
        <v>82942.16</v>
      </c>
      <c r="O42" s="76">
        <f>H42-N42</f>
        <v>0</v>
      </c>
      <c r="P42" s="90">
        <f>N42/H42</f>
        <v>1</v>
      </c>
      <c r="Q42" s="51"/>
      <c r="T42" s="53">
        <v>62.75</v>
      </c>
    </row>
    <row r="43" spans="1:20" s="56" customFormat="1" ht="12" x14ac:dyDescent="0.2">
      <c r="A43" s="94">
        <v>92763</v>
      </c>
      <c r="B43" s="73" t="s">
        <v>61</v>
      </c>
      <c r="C43" s="74" t="s">
        <v>62</v>
      </c>
      <c r="D43" s="73" t="s">
        <v>35</v>
      </c>
      <c r="E43" s="76">
        <v>3423</v>
      </c>
      <c r="F43" s="75">
        <f>ROUND(T43*$T$10,2)</f>
        <v>5.22</v>
      </c>
      <c r="G43" s="75">
        <f>ROUND(F43*(1+$U$1),2)</f>
        <v>6.66</v>
      </c>
      <c r="H43" s="76">
        <f>ROUND(E43*G43,2)</f>
        <v>22797.18</v>
      </c>
      <c r="I43" s="76"/>
      <c r="J43" s="75">
        <v>3423</v>
      </c>
      <c r="K43" s="75">
        <f t="shared" si="1"/>
        <v>0</v>
      </c>
      <c r="L43" s="76">
        <f>ROUND(E43*F43,2)</f>
        <v>17868.060000000001</v>
      </c>
      <c r="M43" s="76">
        <f>I43*G43</f>
        <v>0</v>
      </c>
      <c r="N43" s="76">
        <f t="shared" si="2"/>
        <v>22797.18</v>
      </c>
      <c r="O43" s="76">
        <f>H43-N43</f>
        <v>0</v>
      </c>
      <c r="P43" s="90">
        <f>N43/H43</f>
        <v>1</v>
      </c>
      <c r="Q43" s="51"/>
      <c r="T43" s="53">
        <v>5.22</v>
      </c>
    </row>
    <row r="44" spans="1:20" s="56" customFormat="1" ht="12" x14ac:dyDescent="0.2">
      <c r="A44" s="94">
        <v>94965</v>
      </c>
      <c r="B44" s="73" t="s">
        <v>63</v>
      </c>
      <c r="C44" s="74" t="s">
        <v>30</v>
      </c>
      <c r="D44" s="73" t="s">
        <v>48</v>
      </c>
      <c r="E44" s="75">
        <v>47.9</v>
      </c>
      <c r="F44" s="75">
        <f>ROUND(T44*$T$10,2)</f>
        <v>302.64</v>
      </c>
      <c r="G44" s="75">
        <f>ROUND(F44*(1+$U$1),2)</f>
        <v>386.14</v>
      </c>
      <c r="H44" s="76">
        <f>ROUND(E44*G44,2)</f>
        <v>18496.11</v>
      </c>
      <c r="I44" s="75"/>
      <c r="J44" s="75">
        <v>47.9</v>
      </c>
      <c r="K44" s="75">
        <f t="shared" si="1"/>
        <v>0</v>
      </c>
      <c r="L44" s="76">
        <f>ROUND(E44*F44,2)</f>
        <v>14496.46</v>
      </c>
      <c r="M44" s="76">
        <f>I44*G44</f>
        <v>0</v>
      </c>
      <c r="N44" s="76">
        <f t="shared" si="2"/>
        <v>18496.11</v>
      </c>
      <c r="O44" s="76">
        <f>H44-N44</f>
        <v>0</v>
      </c>
      <c r="P44" s="90">
        <f>N44/H44</f>
        <v>1</v>
      </c>
      <c r="Q44" s="51"/>
      <c r="T44" s="53">
        <v>302.64</v>
      </c>
    </row>
    <row r="45" spans="1:20" s="56" customFormat="1" ht="24" x14ac:dyDescent="0.2">
      <c r="A45" s="94">
        <v>92873</v>
      </c>
      <c r="B45" s="73" t="s">
        <v>64</v>
      </c>
      <c r="C45" s="74" t="s">
        <v>32</v>
      </c>
      <c r="D45" s="73" t="s">
        <v>48</v>
      </c>
      <c r="E45" s="75">
        <v>47.9</v>
      </c>
      <c r="F45" s="75">
        <f>ROUND(T45*$T$10,2)</f>
        <v>135.94</v>
      </c>
      <c r="G45" s="75">
        <f>ROUND(F45*(1+$U$1),2)</f>
        <v>173.45</v>
      </c>
      <c r="H45" s="76">
        <f>ROUND(E45*G45,2)</f>
        <v>8308.26</v>
      </c>
      <c r="I45" s="75"/>
      <c r="J45" s="75">
        <v>47.9</v>
      </c>
      <c r="K45" s="75">
        <f t="shared" si="1"/>
        <v>0</v>
      </c>
      <c r="L45" s="76">
        <f>ROUND(E45*F45,2)</f>
        <v>6511.53</v>
      </c>
      <c r="M45" s="76">
        <f>I45*G45</f>
        <v>0</v>
      </c>
      <c r="N45" s="76">
        <f t="shared" si="2"/>
        <v>8308.26</v>
      </c>
      <c r="O45" s="76">
        <f>H45-N45</f>
        <v>0</v>
      </c>
      <c r="P45" s="90">
        <f>N45/H45</f>
        <v>1</v>
      </c>
      <c r="Q45" s="51"/>
      <c r="T45" s="53">
        <v>135.94</v>
      </c>
    </row>
    <row r="46" spans="1:20" s="56" customFormat="1" ht="12" x14ac:dyDescent="0.2">
      <c r="A46" s="72"/>
      <c r="B46" s="70" t="s">
        <v>65</v>
      </c>
      <c r="C46" s="71" t="s">
        <v>66</v>
      </c>
      <c r="D46" s="72"/>
      <c r="E46" s="72"/>
      <c r="F46" s="75"/>
      <c r="G46" s="72"/>
      <c r="H46" s="72"/>
      <c r="I46" s="72"/>
      <c r="J46" s="75">
        <v>0</v>
      </c>
      <c r="K46" s="75">
        <f t="shared" si="1"/>
        <v>0</v>
      </c>
      <c r="L46" s="72"/>
      <c r="M46" s="72"/>
      <c r="N46" s="76">
        <f t="shared" si="2"/>
        <v>0</v>
      </c>
      <c r="O46" s="76"/>
      <c r="P46" s="90"/>
      <c r="Q46" s="52"/>
      <c r="T46" s="52"/>
    </row>
    <row r="47" spans="1:20" s="56" customFormat="1" ht="12" x14ac:dyDescent="0.2">
      <c r="A47" s="94">
        <v>92265</v>
      </c>
      <c r="B47" s="73" t="s">
        <v>67</v>
      </c>
      <c r="C47" s="74" t="s">
        <v>44</v>
      </c>
      <c r="D47" s="73" t="s">
        <v>14</v>
      </c>
      <c r="E47" s="75">
        <v>370.9</v>
      </c>
      <c r="F47" s="75">
        <f>ROUND(T47*$T$10,2)</f>
        <v>60.66</v>
      </c>
      <c r="G47" s="75">
        <f>ROUND(F47*(1+$U$1),2)</f>
        <v>77.400000000000006</v>
      </c>
      <c r="H47" s="76">
        <f>ROUND(E47*G47,2)</f>
        <v>28707.66</v>
      </c>
      <c r="I47" s="75"/>
      <c r="J47" s="75">
        <v>370.9</v>
      </c>
      <c r="K47" s="75">
        <f t="shared" si="1"/>
        <v>0</v>
      </c>
      <c r="L47" s="76">
        <f>ROUND(E47*F47,2)</f>
        <v>22498.79</v>
      </c>
      <c r="M47" s="76">
        <f>I47*G47</f>
        <v>0</v>
      </c>
      <c r="N47" s="76">
        <f t="shared" si="2"/>
        <v>28707.66</v>
      </c>
      <c r="O47" s="76">
        <f>H47-N47</f>
        <v>0</v>
      </c>
      <c r="P47" s="90">
        <f>N47/H47</f>
        <v>1</v>
      </c>
      <c r="Q47" s="51"/>
      <c r="T47" s="53">
        <v>60.66</v>
      </c>
    </row>
    <row r="48" spans="1:20" s="56" customFormat="1" ht="12" x14ac:dyDescent="0.2">
      <c r="A48" s="94">
        <v>92762</v>
      </c>
      <c r="B48" s="73" t="s">
        <v>68</v>
      </c>
      <c r="C48" s="74" t="s">
        <v>46</v>
      </c>
      <c r="D48" s="73" t="s">
        <v>35</v>
      </c>
      <c r="E48" s="76">
        <v>6724.2</v>
      </c>
      <c r="F48" s="75">
        <f>ROUND(T48*$T$10,2)</f>
        <v>5.86</v>
      </c>
      <c r="G48" s="75">
        <f>ROUND(F48*(1+$U$1),2)</f>
        <v>7.48</v>
      </c>
      <c r="H48" s="76">
        <f>ROUND(E48*G48,2)</f>
        <v>50297.02</v>
      </c>
      <c r="I48" s="76"/>
      <c r="J48" s="75">
        <v>6724.2</v>
      </c>
      <c r="K48" s="75">
        <f t="shared" si="1"/>
        <v>0</v>
      </c>
      <c r="L48" s="76">
        <f>ROUND(E48*F48,2)</f>
        <v>39403.81</v>
      </c>
      <c r="M48" s="76">
        <f>I48*G48</f>
        <v>0</v>
      </c>
      <c r="N48" s="76">
        <f t="shared" si="2"/>
        <v>50297.02</v>
      </c>
      <c r="O48" s="76">
        <f>H48-N48</f>
        <v>0</v>
      </c>
      <c r="P48" s="90">
        <f>N48/H48</f>
        <v>1</v>
      </c>
      <c r="Q48" s="51"/>
      <c r="T48" s="53">
        <v>5.86</v>
      </c>
    </row>
    <row r="49" spans="1:20" s="56" customFormat="1" ht="12" x14ac:dyDescent="0.2">
      <c r="A49" s="94">
        <v>94965</v>
      </c>
      <c r="B49" s="73" t="s">
        <v>69</v>
      </c>
      <c r="C49" s="74" t="s">
        <v>30</v>
      </c>
      <c r="D49" s="73" t="s">
        <v>48</v>
      </c>
      <c r="E49" s="75">
        <v>35.9</v>
      </c>
      <c r="F49" s="75">
        <f>ROUND(T49*$T$10,2)</f>
        <v>302.64</v>
      </c>
      <c r="G49" s="75">
        <f>ROUND(F49*(1+$U$1),2)</f>
        <v>386.14</v>
      </c>
      <c r="H49" s="76">
        <f>ROUND(E49*G49,2)</f>
        <v>13862.43</v>
      </c>
      <c r="I49" s="75"/>
      <c r="J49" s="75">
        <v>35.9</v>
      </c>
      <c r="K49" s="75">
        <f t="shared" si="1"/>
        <v>0</v>
      </c>
      <c r="L49" s="76">
        <f>ROUND(E49*F49,2)</f>
        <v>10864.78</v>
      </c>
      <c r="M49" s="76">
        <f>I49*G49</f>
        <v>0</v>
      </c>
      <c r="N49" s="76">
        <f t="shared" si="2"/>
        <v>13862.43</v>
      </c>
      <c r="O49" s="76">
        <f>H49-N49</f>
        <v>0</v>
      </c>
      <c r="P49" s="90">
        <f>N49/H49</f>
        <v>1</v>
      </c>
      <c r="Q49" s="51"/>
      <c r="T49" s="53">
        <v>302.64</v>
      </c>
    </row>
    <row r="50" spans="1:20" s="56" customFormat="1" ht="24" x14ac:dyDescent="0.2">
      <c r="A50" s="94">
        <v>92873</v>
      </c>
      <c r="B50" s="73" t="s">
        <v>70</v>
      </c>
      <c r="C50" s="74" t="s">
        <v>32</v>
      </c>
      <c r="D50" s="73" t="s">
        <v>48</v>
      </c>
      <c r="E50" s="75">
        <v>35.9</v>
      </c>
      <c r="F50" s="75">
        <f>ROUND(T50*$T$10,2)</f>
        <v>135.94</v>
      </c>
      <c r="G50" s="75">
        <f>ROUND(F50*(1+$U$1),2)</f>
        <v>173.45</v>
      </c>
      <c r="H50" s="76">
        <f>ROUND(E50*G50,2)</f>
        <v>6226.86</v>
      </c>
      <c r="I50" s="75"/>
      <c r="J50" s="75">
        <v>35.9</v>
      </c>
      <c r="K50" s="75">
        <f t="shared" si="1"/>
        <v>0</v>
      </c>
      <c r="L50" s="76">
        <f>ROUND(E50*F50,2)</f>
        <v>4880.25</v>
      </c>
      <c r="M50" s="76">
        <f>I50*G50</f>
        <v>0</v>
      </c>
      <c r="N50" s="76">
        <f t="shared" si="2"/>
        <v>6226.86</v>
      </c>
      <c r="O50" s="76">
        <f>H50-N50</f>
        <v>0</v>
      </c>
      <c r="P50" s="90">
        <f>N50/H50</f>
        <v>1</v>
      </c>
      <c r="Q50" s="51"/>
      <c r="T50" s="53">
        <v>135.94</v>
      </c>
    </row>
    <row r="51" spans="1:20" s="56" customFormat="1" ht="12" x14ac:dyDescent="0.2">
      <c r="A51" s="72"/>
      <c r="B51" s="71"/>
      <c r="C51" s="71"/>
      <c r="D51" s="71"/>
      <c r="E51" s="71"/>
      <c r="F51" s="75"/>
      <c r="G51" s="77" t="s">
        <v>71</v>
      </c>
      <c r="H51" s="78">
        <f>SUM(H32:H50)</f>
        <v>354685.87999999995</v>
      </c>
      <c r="I51" s="71"/>
      <c r="J51" s="75"/>
      <c r="K51" s="71"/>
      <c r="L51" s="78">
        <f>SUM(L32:L50)</f>
        <v>277961.7</v>
      </c>
      <c r="M51" s="78">
        <f>SUM(M32:M50)</f>
        <v>0</v>
      </c>
      <c r="N51" s="78">
        <f>SUM(N32:N50)</f>
        <v>354686.98</v>
      </c>
      <c r="O51" s="78">
        <f>SUM(O32:O50)</f>
        <v>-1.0999999999967258</v>
      </c>
      <c r="P51" s="91">
        <f>N51/H51</f>
        <v>1.0000031013357511</v>
      </c>
      <c r="Q51" s="60">
        <f>H51-N51</f>
        <v>-1.1000000000349246</v>
      </c>
      <c r="R51" s="58"/>
      <c r="T51" s="59"/>
    </row>
    <row r="52" spans="1:20" s="56" customFormat="1" ht="12" x14ac:dyDescent="0.2">
      <c r="A52" s="72"/>
      <c r="B52" s="70" t="s">
        <v>72</v>
      </c>
      <c r="C52" s="71" t="s">
        <v>73</v>
      </c>
      <c r="D52" s="72"/>
      <c r="E52" s="72"/>
      <c r="F52" s="75"/>
      <c r="G52" s="72"/>
      <c r="H52" s="72"/>
      <c r="I52" s="72"/>
      <c r="J52" s="75"/>
      <c r="K52" s="72"/>
      <c r="L52" s="72"/>
      <c r="M52" s="72"/>
      <c r="N52" s="72"/>
      <c r="O52" s="72"/>
      <c r="P52" s="72"/>
      <c r="Q52" s="52"/>
      <c r="T52" s="52"/>
    </row>
    <row r="53" spans="1:20" s="56" customFormat="1" ht="12" x14ac:dyDescent="0.2">
      <c r="A53" s="72"/>
      <c r="B53" s="73" t="s">
        <v>74</v>
      </c>
      <c r="C53" s="71" t="s">
        <v>75</v>
      </c>
      <c r="D53" s="72"/>
      <c r="E53" s="72"/>
      <c r="F53" s="75"/>
      <c r="G53" s="72"/>
      <c r="H53" s="72"/>
      <c r="I53" s="72"/>
      <c r="J53" s="75"/>
      <c r="K53" s="72"/>
      <c r="L53" s="72"/>
      <c r="M53" s="72"/>
      <c r="N53" s="72"/>
      <c r="O53" s="72"/>
      <c r="P53" s="72"/>
      <c r="Q53" s="52"/>
      <c r="T53" s="52"/>
    </row>
    <row r="54" spans="1:20" s="56" customFormat="1" ht="12" x14ac:dyDescent="0.2">
      <c r="A54" s="94">
        <v>87479</v>
      </c>
      <c r="B54" s="73" t="s">
        <v>76</v>
      </c>
      <c r="C54" s="74" t="s">
        <v>77</v>
      </c>
      <c r="D54" s="73" t="s">
        <v>14</v>
      </c>
      <c r="E54" s="75">
        <v>153.47</v>
      </c>
      <c r="F54" s="75">
        <f t="shared" ref="F54:F60" si="3">ROUND(T54*$T$10,2)</f>
        <v>41.64</v>
      </c>
      <c r="G54" s="75">
        <f t="shared" ref="G54:G60" si="4">ROUND(F54*(1+$U$1),2)</f>
        <v>53.13</v>
      </c>
      <c r="H54" s="76">
        <f t="shared" ref="H54:H60" si="5">ROUND(E54*G54,2)</f>
        <v>8153.86</v>
      </c>
      <c r="I54" s="75"/>
      <c r="J54" s="75">
        <v>153.47</v>
      </c>
      <c r="K54" s="75">
        <f t="shared" ref="K54:K60" si="6">E54-J54</f>
        <v>0</v>
      </c>
      <c r="L54" s="76">
        <f t="shared" ref="L54:L58" si="7">ROUND(E54*F54,2)</f>
        <v>6390.49</v>
      </c>
      <c r="M54" s="76">
        <f t="shared" ref="M54:M58" si="8">I54*G54</f>
        <v>0</v>
      </c>
      <c r="N54" s="76">
        <f t="shared" ref="N54:N58" si="9">J54*G54</f>
        <v>8153.8611000000001</v>
      </c>
      <c r="O54" s="76">
        <f t="shared" ref="O54:O58" si="10">H54-N54</f>
        <v>-1.1000000004059984E-3</v>
      </c>
      <c r="P54" s="90">
        <f t="shared" ref="P54:P61" si="11">N54/H54</f>
        <v>1.0000001349054313</v>
      </c>
      <c r="Q54" s="51"/>
      <c r="T54" s="53">
        <v>41.64</v>
      </c>
    </row>
    <row r="55" spans="1:20" s="56" customFormat="1" ht="12" x14ac:dyDescent="0.2">
      <c r="A55" s="73" t="s">
        <v>78</v>
      </c>
      <c r="B55" s="73" t="s">
        <v>79</v>
      </c>
      <c r="C55" s="74" t="s">
        <v>80</v>
      </c>
      <c r="D55" s="73" t="s">
        <v>81</v>
      </c>
      <c r="E55" s="75">
        <v>32.5</v>
      </c>
      <c r="F55" s="75">
        <f t="shared" si="3"/>
        <v>7.91</v>
      </c>
      <c r="G55" s="75">
        <f t="shared" si="4"/>
        <v>10.09</v>
      </c>
      <c r="H55" s="76">
        <f t="shared" si="5"/>
        <v>327.93</v>
      </c>
      <c r="I55" s="75"/>
      <c r="J55" s="75">
        <v>32.5</v>
      </c>
      <c r="K55" s="75">
        <f t="shared" si="6"/>
        <v>0</v>
      </c>
      <c r="L55" s="76">
        <f t="shared" si="7"/>
        <v>257.08</v>
      </c>
      <c r="M55" s="76">
        <f t="shared" si="8"/>
        <v>0</v>
      </c>
      <c r="N55" s="76">
        <f t="shared" si="9"/>
        <v>327.92500000000001</v>
      </c>
      <c r="O55" s="76">
        <f t="shared" si="10"/>
        <v>4.9999999999954525E-3</v>
      </c>
      <c r="P55" s="90">
        <f t="shared" si="11"/>
        <v>0.99998475284359467</v>
      </c>
      <c r="Q55" s="51"/>
      <c r="T55" s="53">
        <v>7.91</v>
      </c>
    </row>
    <row r="56" spans="1:20" s="56" customFormat="1" ht="24" x14ac:dyDescent="0.2">
      <c r="A56" s="73" t="s">
        <v>82</v>
      </c>
      <c r="B56" s="73" t="s">
        <v>83</v>
      </c>
      <c r="C56" s="74" t="s">
        <v>84</v>
      </c>
      <c r="D56" s="73" t="s">
        <v>14</v>
      </c>
      <c r="E56" s="75">
        <v>27.15</v>
      </c>
      <c r="F56" s="75">
        <f t="shared" si="3"/>
        <v>53.52</v>
      </c>
      <c r="G56" s="75">
        <f t="shared" si="4"/>
        <v>68.290000000000006</v>
      </c>
      <c r="H56" s="76">
        <f t="shared" si="5"/>
        <v>1854.07</v>
      </c>
      <c r="I56" s="75"/>
      <c r="J56" s="75">
        <v>27.15</v>
      </c>
      <c r="K56" s="75">
        <f t="shared" si="6"/>
        <v>0</v>
      </c>
      <c r="L56" s="76">
        <f t="shared" si="7"/>
        <v>1453.07</v>
      </c>
      <c r="M56" s="76">
        <f t="shared" si="8"/>
        <v>0</v>
      </c>
      <c r="N56" s="76">
        <f t="shared" si="9"/>
        <v>1854.0735</v>
      </c>
      <c r="O56" s="76">
        <f t="shared" si="10"/>
        <v>-3.5000000000309228E-3</v>
      </c>
      <c r="P56" s="90">
        <f t="shared" si="11"/>
        <v>1.0000018877388663</v>
      </c>
      <c r="Q56" s="51"/>
      <c r="T56" s="53">
        <v>53.52</v>
      </c>
    </row>
    <row r="57" spans="1:20" s="56" customFormat="1" ht="24" x14ac:dyDescent="0.2">
      <c r="A57" s="73" t="s">
        <v>85</v>
      </c>
      <c r="B57" s="73" t="s">
        <v>86</v>
      </c>
      <c r="C57" s="74" t="s">
        <v>87</v>
      </c>
      <c r="D57" s="73" t="s">
        <v>14</v>
      </c>
      <c r="E57" s="75">
        <v>45.99</v>
      </c>
      <c r="F57" s="75">
        <f t="shared" si="3"/>
        <v>203.72</v>
      </c>
      <c r="G57" s="75">
        <f t="shared" si="4"/>
        <v>259.93</v>
      </c>
      <c r="H57" s="76">
        <f t="shared" si="5"/>
        <v>11954.18</v>
      </c>
      <c r="I57" s="75"/>
      <c r="J57" s="75">
        <v>45.99</v>
      </c>
      <c r="K57" s="75">
        <f t="shared" si="6"/>
        <v>0</v>
      </c>
      <c r="L57" s="76">
        <f t="shared" si="7"/>
        <v>9369.08</v>
      </c>
      <c r="M57" s="76">
        <f t="shared" si="8"/>
        <v>0</v>
      </c>
      <c r="N57" s="76">
        <f t="shared" si="9"/>
        <v>11954.180700000001</v>
      </c>
      <c r="O57" s="76">
        <f t="shared" si="10"/>
        <v>-7.0000000050640665E-4</v>
      </c>
      <c r="P57" s="90">
        <f t="shared" si="11"/>
        <v>1.0000000585569233</v>
      </c>
      <c r="Q57" s="51"/>
      <c r="T57" s="53">
        <v>203.72</v>
      </c>
    </row>
    <row r="58" spans="1:20" s="56" customFormat="1" ht="24" x14ac:dyDescent="0.2">
      <c r="A58" s="73" t="s">
        <v>88</v>
      </c>
      <c r="B58" s="73" t="s">
        <v>89</v>
      </c>
      <c r="C58" s="74" t="s">
        <v>90</v>
      </c>
      <c r="D58" s="73" t="s">
        <v>14</v>
      </c>
      <c r="E58" s="75">
        <v>52.74</v>
      </c>
      <c r="F58" s="75">
        <f t="shared" si="3"/>
        <v>310.44</v>
      </c>
      <c r="G58" s="75">
        <f t="shared" si="4"/>
        <v>396.09</v>
      </c>
      <c r="H58" s="76">
        <f t="shared" si="5"/>
        <v>20889.79</v>
      </c>
      <c r="I58" s="75"/>
      <c r="J58" s="75">
        <v>52.74</v>
      </c>
      <c r="K58" s="75">
        <f t="shared" si="6"/>
        <v>0</v>
      </c>
      <c r="L58" s="76">
        <f t="shared" si="7"/>
        <v>16372.61</v>
      </c>
      <c r="M58" s="76">
        <f t="shared" si="8"/>
        <v>0</v>
      </c>
      <c r="N58" s="76">
        <f t="shared" si="9"/>
        <v>20889.786599999999</v>
      </c>
      <c r="O58" s="76">
        <f t="shared" si="10"/>
        <v>3.4000000014202669E-3</v>
      </c>
      <c r="P58" s="90">
        <f t="shared" si="11"/>
        <v>0.99999983724106367</v>
      </c>
      <c r="Q58" s="51"/>
      <c r="T58" s="53">
        <v>310.44</v>
      </c>
    </row>
    <row r="59" spans="1:20" s="56" customFormat="1" ht="12" x14ac:dyDescent="0.2">
      <c r="A59" s="94">
        <v>93187</v>
      </c>
      <c r="B59" s="73" t="s">
        <v>91</v>
      </c>
      <c r="C59" s="74" t="s">
        <v>92</v>
      </c>
      <c r="D59" s="73" t="s">
        <v>81</v>
      </c>
      <c r="E59" s="75">
        <v>228</v>
      </c>
      <c r="F59" s="75">
        <f t="shared" si="3"/>
        <v>52.6</v>
      </c>
      <c r="G59" s="75">
        <f t="shared" si="4"/>
        <v>67.11</v>
      </c>
      <c r="H59" s="76">
        <f t="shared" si="5"/>
        <v>15301.08</v>
      </c>
      <c r="I59" s="75"/>
      <c r="J59" s="75">
        <v>228</v>
      </c>
      <c r="K59" s="75">
        <f t="shared" si="6"/>
        <v>0</v>
      </c>
      <c r="L59" s="76">
        <f>ROUND(E59*F59,2)</f>
        <v>11992.8</v>
      </c>
      <c r="M59" s="76">
        <f>I59*G59</f>
        <v>0</v>
      </c>
      <c r="N59" s="76">
        <f>J59*G59</f>
        <v>15301.08</v>
      </c>
      <c r="O59" s="76">
        <f>H59-N59</f>
        <v>0</v>
      </c>
      <c r="P59" s="90">
        <f>N59/H59</f>
        <v>1</v>
      </c>
      <c r="Q59" s="51"/>
      <c r="T59" s="53">
        <v>52.6</v>
      </c>
    </row>
    <row r="60" spans="1:20" s="56" customFormat="1" ht="12" x14ac:dyDescent="0.2">
      <c r="A60" s="94">
        <v>93197</v>
      </c>
      <c r="B60" s="73" t="s">
        <v>93</v>
      </c>
      <c r="C60" s="74" t="s">
        <v>94</v>
      </c>
      <c r="D60" s="73" t="s">
        <v>81</v>
      </c>
      <c r="E60" s="75">
        <v>101.36</v>
      </c>
      <c r="F60" s="75">
        <f t="shared" si="3"/>
        <v>49.48</v>
      </c>
      <c r="G60" s="75">
        <f t="shared" si="4"/>
        <v>63.13</v>
      </c>
      <c r="H60" s="76">
        <f t="shared" si="5"/>
        <v>6398.86</v>
      </c>
      <c r="I60" s="75"/>
      <c r="J60" s="75">
        <v>101.36</v>
      </c>
      <c r="K60" s="75">
        <f t="shared" si="6"/>
        <v>0</v>
      </c>
      <c r="L60" s="76">
        <f>ROUND(E60*F60,2)</f>
        <v>5015.29</v>
      </c>
      <c r="M60" s="76">
        <f>I60*G60</f>
        <v>0</v>
      </c>
      <c r="N60" s="76">
        <f>J60*G60</f>
        <v>6398.8568000000005</v>
      </c>
      <c r="O60" s="76">
        <f>H60-N60</f>
        <v>3.1999999991967343E-3</v>
      </c>
      <c r="P60" s="90">
        <f>N60/H60</f>
        <v>0.99999949991092174</v>
      </c>
      <c r="Q60" s="51"/>
      <c r="T60" s="53">
        <v>49.48</v>
      </c>
    </row>
    <row r="61" spans="1:20" s="56" customFormat="1" ht="12" x14ac:dyDescent="0.2">
      <c r="A61" s="72"/>
      <c r="B61" s="71"/>
      <c r="C61" s="71"/>
      <c r="D61" s="71"/>
      <c r="E61" s="71"/>
      <c r="F61" s="75"/>
      <c r="G61" s="77" t="s">
        <v>95</v>
      </c>
      <c r="H61" s="78">
        <f>SUM(H54:H60)</f>
        <v>64879.770000000004</v>
      </c>
      <c r="I61" s="75"/>
      <c r="J61" s="75"/>
      <c r="K61" s="71"/>
      <c r="L61" s="78">
        <f>SUM(L54:L60)</f>
        <v>50850.420000000006</v>
      </c>
      <c r="M61" s="78">
        <f>SUM(M54:M60)</f>
        <v>0</v>
      </c>
      <c r="N61" s="78">
        <f>SUM(N54:N60)</f>
        <v>64879.763700000003</v>
      </c>
      <c r="O61" s="78">
        <f>SUM(O54:O60)</f>
        <v>6.2999999996691258E-3</v>
      </c>
      <c r="P61" s="91">
        <f t="shared" si="11"/>
        <v>0.999999902897313</v>
      </c>
      <c r="Q61" s="60">
        <f>H61-N61</f>
        <v>6.300000000919681E-3</v>
      </c>
      <c r="T61" s="59"/>
    </row>
    <row r="62" spans="1:20" s="56" customFormat="1" ht="12" x14ac:dyDescent="0.2">
      <c r="A62" s="72"/>
      <c r="B62" s="70" t="s">
        <v>96</v>
      </c>
      <c r="C62" s="71" t="s">
        <v>97</v>
      </c>
      <c r="D62" s="72"/>
      <c r="E62" s="72"/>
      <c r="F62" s="75"/>
      <c r="G62" s="72"/>
      <c r="H62" s="72"/>
      <c r="I62" s="72"/>
      <c r="J62" s="75"/>
      <c r="K62" s="72"/>
      <c r="L62" s="72"/>
      <c r="M62" s="72"/>
      <c r="N62" s="72"/>
      <c r="O62" s="72"/>
      <c r="P62" s="72"/>
      <c r="Q62" s="52"/>
      <c r="T62" s="52"/>
    </row>
    <row r="63" spans="1:20" s="56" customFormat="1" ht="12" x14ac:dyDescent="0.2">
      <c r="A63" s="72"/>
      <c r="B63" s="73" t="s">
        <v>98</v>
      </c>
      <c r="C63" s="71" t="s">
        <v>99</v>
      </c>
      <c r="D63" s="72"/>
      <c r="E63" s="72"/>
      <c r="F63" s="75"/>
      <c r="G63" s="72"/>
      <c r="H63" s="72"/>
      <c r="I63" s="72"/>
      <c r="J63" s="75"/>
      <c r="K63" s="72"/>
      <c r="L63" s="72"/>
      <c r="M63" s="72"/>
      <c r="N63" s="72"/>
      <c r="O63" s="72"/>
      <c r="P63" s="72"/>
      <c r="Q63" s="52"/>
      <c r="T63" s="52"/>
    </row>
    <row r="64" spans="1:20" s="56" customFormat="1" ht="12" x14ac:dyDescent="0.2">
      <c r="A64" s="94">
        <v>90822</v>
      </c>
      <c r="B64" s="73" t="s">
        <v>100</v>
      </c>
      <c r="C64" s="74" t="s">
        <v>101</v>
      </c>
      <c r="D64" s="73" t="s">
        <v>102</v>
      </c>
      <c r="E64" s="75">
        <v>14</v>
      </c>
      <c r="F64" s="75">
        <f t="shared" ref="F64:F70" si="12">ROUND(T64*$T$10,2)</f>
        <v>329.55</v>
      </c>
      <c r="G64" s="75">
        <f t="shared" ref="G64:G70" si="13">ROUND(F64*(1+$U$1),2)</f>
        <v>420.47</v>
      </c>
      <c r="H64" s="76">
        <f t="shared" ref="H64:H70" si="14">ROUND(E64*G64,2)</f>
        <v>5886.58</v>
      </c>
      <c r="I64" s="75"/>
      <c r="J64" s="75">
        <v>14</v>
      </c>
      <c r="K64" s="75">
        <f t="shared" ref="K64:K127" si="15">E64-J64</f>
        <v>0</v>
      </c>
      <c r="L64" s="76">
        <f t="shared" ref="L64:L70" si="16">ROUND(E64*F64,2)</f>
        <v>4613.7</v>
      </c>
      <c r="M64" s="76">
        <f t="shared" ref="M64:M70" si="17">I64*G64</f>
        <v>0</v>
      </c>
      <c r="N64" s="76">
        <f t="shared" ref="N64:N70" si="18">J64*G64</f>
        <v>5886.58</v>
      </c>
      <c r="O64" s="76">
        <f t="shared" ref="O64:O70" si="19">H64-N64</f>
        <v>0</v>
      </c>
      <c r="P64" s="90">
        <f t="shared" ref="P64:P71" si="20">N64/H64</f>
        <v>1</v>
      </c>
      <c r="Q64" s="51"/>
      <c r="T64" s="53">
        <v>329.55</v>
      </c>
    </row>
    <row r="65" spans="1:20" s="56" customFormat="1" ht="12" x14ac:dyDescent="0.2">
      <c r="A65" s="73" t="s">
        <v>78</v>
      </c>
      <c r="B65" s="73" t="s">
        <v>103</v>
      </c>
      <c r="C65" s="74" t="s">
        <v>104</v>
      </c>
      <c r="D65" s="73" t="s">
        <v>102</v>
      </c>
      <c r="E65" s="75">
        <v>4</v>
      </c>
      <c r="F65" s="75">
        <f t="shared" si="12"/>
        <v>395.46</v>
      </c>
      <c r="G65" s="75">
        <f t="shared" si="13"/>
        <v>504.57</v>
      </c>
      <c r="H65" s="76">
        <f t="shared" si="14"/>
        <v>2018.28</v>
      </c>
      <c r="I65" s="75"/>
      <c r="J65" s="75">
        <v>4</v>
      </c>
      <c r="K65" s="75">
        <f t="shared" si="15"/>
        <v>0</v>
      </c>
      <c r="L65" s="76">
        <f t="shared" si="16"/>
        <v>1581.84</v>
      </c>
      <c r="M65" s="76">
        <f t="shared" si="17"/>
        <v>0</v>
      </c>
      <c r="N65" s="76">
        <f t="shared" si="18"/>
        <v>2018.28</v>
      </c>
      <c r="O65" s="76">
        <f t="shared" si="19"/>
        <v>0</v>
      </c>
      <c r="P65" s="90">
        <f t="shared" si="20"/>
        <v>1</v>
      </c>
      <c r="Q65" s="51"/>
      <c r="T65" s="53">
        <v>395.46</v>
      </c>
    </row>
    <row r="66" spans="1:20" s="56" customFormat="1" ht="12" x14ac:dyDescent="0.2">
      <c r="A66" s="73" t="s">
        <v>78</v>
      </c>
      <c r="B66" s="73" t="s">
        <v>105</v>
      </c>
      <c r="C66" s="74" t="s">
        <v>106</v>
      </c>
      <c r="D66" s="73" t="s">
        <v>102</v>
      </c>
      <c r="E66" s="75">
        <v>14</v>
      </c>
      <c r="F66" s="75">
        <f t="shared" si="12"/>
        <v>222.6</v>
      </c>
      <c r="G66" s="75">
        <f t="shared" si="13"/>
        <v>284.02</v>
      </c>
      <c r="H66" s="76">
        <f t="shared" si="14"/>
        <v>3976.28</v>
      </c>
      <c r="I66" s="75"/>
      <c r="J66" s="75">
        <v>14</v>
      </c>
      <c r="K66" s="75">
        <f t="shared" si="15"/>
        <v>0</v>
      </c>
      <c r="L66" s="76">
        <f t="shared" si="16"/>
        <v>3116.4</v>
      </c>
      <c r="M66" s="76">
        <f t="shared" si="17"/>
        <v>0</v>
      </c>
      <c r="N66" s="76">
        <f t="shared" si="18"/>
        <v>3976.2799999999997</v>
      </c>
      <c r="O66" s="76">
        <f t="shared" si="19"/>
        <v>0</v>
      </c>
      <c r="P66" s="90">
        <f t="shared" si="20"/>
        <v>0.99999999999999989</v>
      </c>
      <c r="Q66" s="51"/>
      <c r="T66" s="53">
        <v>222.6</v>
      </c>
    </row>
    <row r="67" spans="1:20" s="56" customFormat="1" ht="24" x14ac:dyDescent="0.2">
      <c r="A67" s="73" t="s">
        <v>78</v>
      </c>
      <c r="B67" s="73" t="s">
        <v>107</v>
      </c>
      <c r="C67" s="74" t="s">
        <v>108</v>
      </c>
      <c r="D67" s="73" t="s">
        <v>102</v>
      </c>
      <c r="E67" s="75">
        <v>6</v>
      </c>
      <c r="F67" s="75">
        <f t="shared" si="12"/>
        <v>222.6</v>
      </c>
      <c r="G67" s="75">
        <f t="shared" si="13"/>
        <v>284.02</v>
      </c>
      <c r="H67" s="76">
        <f t="shared" si="14"/>
        <v>1704.12</v>
      </c>
      <c r="I67" s="75"/>
      <c r="J67" s="75">
        <v>6</v>
      </c>
      <c r="K67" s="75">
        <f t="shared" si="15"/>
        <v>0</v>
      </c>
      <c r="L67" s="76">
        <f t="shared" si="16"/>
        <v>1335.6</v>
      </c>
      <c r="M67" s="76">
        <f t="shared" si="17"/>
        <v>0</v>
      </c>
      <c r="N67" s="76">
        <f t="shared" si="18"/>
        <v>1704.12</v>
      </c>
      <c r="O67" s="76">
        <f t="shared" si="19"/>
        <v>0</v>
      </c>
      <c r="P67" s="90">
        <f t="shared" si="20"/>
        <v>1</v>
      </c>
      <c r="Q67" s="51"/>
      <c r="T67" s="53">
        <v>222.6</v>
      </c>
    </row>
    <row r="68" spans="1:20" s="56" customFormat="1" ht="12" x14ac:dyDescent="0.2">
      <c r="A68" s="94">
        <v>90820</v>
      </c>
      <c r="B68" s="73" t="s">
        <v>109</v>
      </c>
      <c r="C68" s="74" t="s">
        <v>110</v>
      </c>
      <c r="D68" s="73" t="s">
        <v>102</v>
      </c>
      <c r="E68" s="75">
        <v>4</v>
      </c>
      <c r="F68" s="75">
        <f t="shared" si="12"/>
        <v>308.93</v>
      </c>
      <c r="G68" s="75">
        <f t="shared" si="13"/>
        <v>394.16</v>
      </c>
      <c r="H68" s="76">
        <f t="shared" si="14"/>
        <v>1576.64</v>
      </c>
      <c r="I68" s="75"/>
      <c r="J68" s="75">
        <v>4</v>
      </c>
      <c r="K68" s="75">
        <f t="shared" si="15"/>
        <v>0</v>
      </c>
      <c r="L68" s="76">
        <f t="shared" si="16"/>
        <v>1235.72</v>
      </c>
      <c r="M68" s="76">
        <f t="shared" si="17"/>
        <v>0</v>
      </c>
      <c r="N68" s="76">
        <f t="shared" si="18"/>
        <v>1576.64</v>
      </c>
      <c r="O68" s="76">
        <f t="shared" si="19"/>
        <v>0</v>
      </c>
      <c r="P68" s="90">
        <f t="shared" si="20"/>
        <v>1</v>
      </c>
      <c r="Q68" s="51"/>
      <c r="T68" s="53">
        <v>308.93</v>
      </c>
    </row>
    <row r="69" spans="1:20" s="56" customFormat="1" ht="12" x14ac:dyDescent="0.2">
      <c r="A69" s="73" t="s">
        <v>78</v>
      </c>
      <c r="B69" s="73" t="s">
        <v>111</v>
      </c>
      <c r="C69" s="74" t="s">
        <v>112</v>
      </c>
      <c r="D69" s="73" t="s">
        <v>102</v>
      </c>
      <c r="E69" s="75">
        <v>18</v>
      </c>
      <c r="F69" s="75">
        <f t="shared" si="12"/>
        <v>378.98</v>
      </c>
      <c r="G69" s="75">
        <f t="shared" si="13"/>
        <v>483.54</v>
      </c>
      <c r="H69" s="76">
        <f t="shared" si="14"/>
        <v>8703.7199999999993</v>
      </c>
      <c r="I69" s="75"/>
      <c r="J69" s="75">
        <v>18</v>
      </c>
      <c r="K69" s="75">
        <f t="shared" si="15"/>
        <v>0</v>
      </c>
      <c r="L69" s="76">
        <f t="shared" si="16"/>
        <v>6821.64</v>
      </c>
      <c r="M69" s="76">
        <f t="shared" si="17"/>
        <v>0</v>
      </c>
      <c r="N69" s="76">
        <f t="shared" si="18"/>
        <v>8703.7200000000012</v>
      </c>
      <c r="O69" s="76">
        <f t="shared" si="19"/>
        <v>0</v>
      </c>
      <c r="P69" s="90">
        <f t="shared" si="20"/>
        <v>1.0000000000000002</v>
      </c>
      <c r="Q69" s="51"/>
      <c r="T69" s="53">
        <v>378.98</v>
      </c>
    </row>
    <row r="70" spans="1:20" s="56" customFormat="1" ht="12" x14ac:dyDescent="0.2">
      <c r="A70" s="73" t="s">
        <v>78</v>
      </c>
      <c r="B70" s="73" t="s">
        <v>113</v>
      </c>
      <c r="C70" s="74" t="s">
        <v>114</v>
      </c>
      <c r="D70" s="73" t="s">
        <v>102</v>
      </c>
      <c r="E70" s="75">
        <v>6</v>
      </c>
      <c r="F70" s="75">
        <f t="shared" si="12"/>
        <v>421.82</v>
      </c>
      <c r="G70" s="75">
        <f t="shared" si="13"/>
        <v>538.20000000000005</v>
      </c>
      <c r="H70" s="76">
        <f t="shared" si="14"/>
        <v>3229.2</v>
      </c>
      <c r="I70" s="75"/>
      <c r="J70" s="75">
        <v>6</v>
      </c>
      <c r="K70" s="75">
        <f t="shared" si="15"/>
        <v>0</v>
      </c>
      <c r="L70" s="76">
        <f t="shared" si="16"/>
        <v>2530.92</v>
      </c>
      <c r="M70" s="76">
        <f t="shared" si="17"/>
        <v>0</v>
      </c>
      <c r="N70" s="76">
        <f t="shared" si="18"/>
        <v>3229.2000000000003</v>
      </c>
      <c r="O70" s="76">
        <f t="shared" si="19"/>
        <v>0</v>
      </c>
      <c r="P70" s="90">
        <f t="shared" si="20"/>
        <v>1.0000000000000002</v>
      </c>
      <c r="Q70" s="51"/>
      <c r="T70" s="53">
        <v>421.82</v>
      </c>
    </row>
    <row r="71" spans="1:20" s="56" customFormat="1" ht="12" x14ac:dyDescent="0.2">
      <c r="A71" s="72"/>
      <c r="B71" s="71"/>
      <c r="C71" s="71"/>
      <c r="D71" s="71"/>
      <c r="E71" s="71"/>
      <c r="F71" s="75"/>
      <c r="G71" s="77" t="s">
        <v>115</v>
      </c>
      <c r="H71" s="78">
        <f>SUM(H64:H70)</f>
        <v>27094.819999999996</v>
      </c>
      <c r="I71" s="71"/>
      <c r="J71" s="75">
        <v>0</v>
      </c>
      <c r="K71" s="75">
        <f t="shared" si="15"/>
        <v>0</v>
      </c>
      <c r="L71" s="78">
        <f>SUM(L64:L70)</f>
        <v>21235.82</v>
      </c>
      <c r="M71" s="78">
        <f>SUM(M64:M70)</f>
        <v>0</v>
      </c>
      <c r="N71" s="78">
        <f>SUM(N64:N70)</f>
        <v>27094.82</v>
      </c>
      <c r="O71" s="78">
        <f>SUM(O64:O70)</f>
        <v>0</v>
      </c>
      <c r="P71" s="91">
        <f t="shared" si="20"/>
        <v>1.0000000000000002</v>
      </c>
      <c r="Q71" s="60">
        <f>H71-N71</f>
        <v>0</v>
      </c>
      <c r="T71" s="59"/>
    </row>
    <row r="72" spans="1:20" s="56" customFormat="1" ht="12" x14ac:dyDescent="0.2">
      <c r="A72" s="72"/>
      <c r="B72" s="70" t="s">
        <v>116</v>
      </c>
      <c r="C72" s="71" t="s">
        <v>117</v>
      </c>
      <c r="D72" s="71"/>
      <c r="E72" s="71"/>
      <c r="F72" s="75"/>
      <c r="G72" s="71"/>
      <c r="H72" s="72"/>
      <c r="I72" s="71"/>
      <c r="J72" s="75"/>
      <c r="K72" s="75"/>
      <c r="L72" s="71"/>
      <c r="M72" s="72"/>
      <c r="N72" s="72"/>
      <c r="O72" s="72"/>
      <c r="P72" s="72"/>
      <c r="Q72" s="52"/>
      <c r="T72" s="59"/>
    </row>
    <row r="73" spans="1:20" s="56" customFormat="1" ht="12" x14ac:dyDescent="0.2">
      <c r="A73" s="72"/>
      <c r="B73" s="70" t="s">
        <v>118</v>
      </c>
      <c r="C73" s="71" t="s">
        <v>119</v>
      </c>
      <c r="D73" s="72"/>
      <c r="E73" s="72"/>
      <c r="F73" s="75"/>
      <c r="G73" s="72"/>
      <c r="H73" s="72"/>
      <c r="I73" s="72"/>
      <c r="J73" s="75">
        <v>0</v>
      </c>
      <c r="K73" s="75">
        <f t="shared" si="15"/>
        <v>0</v>
      </c>
      <c r="L73" s="72"/>
      <c r="M73" s="72"/>
      <c r="N73" s="72"/>
      <c r="O73" s="72"/>
      <c r="P73" s="72"/>
      <c r="Q73" s="52"/>
      <c r="T73" s="52"/>
    </row>
    <row r="74" spans="1:20" s="56" customFormat="1" ht="12" x14ac:dyDescent="0.2">
      <c r="A74" s="73" t="s">
        <v>120</v>
      </c>
      <c r="B74" s="73" t="s">
        <v>121</v>
      </c>
      <c r="C74" s="74" t="s">
        <v>122</v>
      </c>
      <c r="D74" s="73" t="s">
        <v>102</v>
      </c>
      <c r="E74" s="75">
        <v>2</v>
      </c>
      <c r="F74" s="75">
        <f>ROUND(T74*$T$10,2)</f>
        <v>329.82</v>
      </c>
      <c r="G74" s="75">
        <f>ROUND(F74*(1+$U$1),2)</f>
        <v>420.82</v>
      </c>
      <c r="H74" s="76">
        <f>ROUND(E74*G74,2)</f>
        <v>841.64</v>
      </c>
      <c r="I74" s="75"/>
      <c r="J74" s="75">
        <v>2</v>
      </c>
      <c r="K74" s="75">
        <f t="shared" si="15"/>
        <v>0</v>
      </c>
      <c r="L74" s="76">
        <f>ROUND(E74*F74,2)</f>
        <v>659.64</v>
      </c>
      <c r="M74" s="76">
        <f>I74*G74</f>
        <v>0</v>
      </c>
      <c r="N74" s="76">
        <f>J74*G74</f>
        <v>841.64</v>
      </c>
      <c r="O74" s="76">
        <f>H74-N74</f>
        <v>0</v>
      </c>
      <c r="P74" s="90">
        <f t="shared" ref="P74:P105" si="21">N74/H74</f>
        <v>1</v>
      </c>
      <c r="Q74" s="51"/>
      <c r="T74" s="53">
        <v>329.82</v>
      </c>
    </row>
    <row r="75" spans="1:20" s="56" customFormat="1" ht="12" x14ac:dyDescent="0.2">
      <c r="A75" s="72"/>
      <c r="B75" s="70" t="s">
        <v>123</v>
      </c>
      <c r="C75" s="71" t="s">
        <v>124</v>
      </c>
      <c r="D75" s="72"/>
      <c r="E75" s="72"/>
      <c r="F75" s="75"/>
      <c r="G75" s="72"/>
      <c r="H75" s="72"/>
      <c r="I75" s="72"/>
      <c r="J75" s="75"/>
      <c r="K75" s="75"/>
      <c r="L75" s="72"/>
      <c r="M75" s="76"/>
      <c r="N75" s="76"/>
      <c r="O75" s="76"/>
      <c r="P75" s="90"/>
      <c r="Q75" s="52"/>
      <c r="T75" s="52"/>
    </row>
    <row r="76" spans="1:20" s="56" customFormat="1" ht="12" x14ac:dyDescent="0.2">
      <c r="A76" s="73" t="s">
        <v>78</v>
      </c>
      <c r="B76" s="73" t="s">
        <v>125</v>
      </c>
      <c r="C76" s="74" t="s">
        <v>126</v>
      </c>
      <c r="D76" s="73" t="s">
        <v>102</v>
      </c>
      <c r="E76" s="75">
        <v>6</v>
      </c>
      <c r="F76" s="75">
        <f t="shared" ref="F76:F95" si="22">ROUND(T76*$T$10,2)</f>
        <v>179.33</v>
      </c>
      <c r="G76" s="75">
        <f t="shared" ref="G76:G95" si="23">ROUND(F76*(1+$U$1),2)</f>
        <v>228.81</v>
      </c>
      <c r="H76" s="76">
        <f t="shared" ref="H76:H95" si="24">ROUND(E76*G76,2)</f>
        <v>1372.86</v>
      </c>
      <c r="I76" s="75"/>
      <c r="J76" s="75">
        <v>6</v>
      </c>
      <c r="K76" s="75">
        <f t="shared" si="15"/>
        <v>0</v>
      </c>
      <c r="L76" s="76">
        <f t="shared" ref="L76:L95" si="25">ROUND(E76*F76,2)</f>
        <v>1075.98</v>
      </c>
      <c r="M76" s="76">
        <f t="shared" ref="M76:M95" si="26">I76*G76</f>
        <v>0</v>
      </c>
      <c r="N76" s="76">
        <f t="shared" ref="N76:N95" si="27">J76*G76</f>
        <v>1372.8600000000001</v>
      </c>
      <c r="O76" s="76">
        <f t="shared" ref="O76:O95" si="28">H76-N76</f>
        <v>0</v>
      </c>
      <c r="P76" s="90">
        <f t="shared" si="21"/>
        <v>1.0000000000000002</v>
      </c>
      <c r="Q76" s="51"/>
      <c r="T76" s="53">
        <v>179.33</v>
      </c>
    </row>
    <row r="77" spans="1:20" s="56" customFormat="1" ht="12" x14ac:dyDescent="0.2">
      <c r="A77" s="73" t="s">
        <v>78</v>
      </c>
      <c r="B77" s="73" t="s">
        <v>127</v>
      </c>
      <c r="C77" s="74" t="s">
        <v>128</v>
      </c>
      <c r="D77" s="73" t="s">
        <v>102</v>
      </c>
      <c r="E77" s="75">
        <v>15</v>
      </c>
      <c r="F77" s="75">
        <f t="shared" si="22"/>
        <v>268.98</v>
      </c>
      <c r="G77" s="75">
        <f t="shared" si="23"/>
        <v>343.19</v>
      </c>
      <c r="H77" s="76">
        <f t="shared" si="24"/>
        <v>5147.8500000000004</v>
      </c>
      <c r="I77" s="75"/>
      <c r="J77" s="75">
        <v>15</v>
      </c>
      <c r="K77" s="75">
        <f t="shared" si="15"/>
        <v>0</v>
      </c>
      <c r="L77" s="76">
        <f t="shared" si="25"/>
        <v>4034.7</v>
      </c>
      <c r="M77" s="76">
        <f t="shared" si="26"/>
        <v>0</v>
      </c>
      <c r="N77" s="76">
        <f t="shared" si="27"/>
        <v>5147.8500000000004</v>
      </c>
      <c r="O77" s="76">
        <f t="shared" si="28"/>
        <v>0</v>
      </c>
      <c r="P77" s="90">
        <f t="shared" si="21"/>
        <v>1</v>
      </c>
      <c r="Q77" s="51"/>
      <c r="T77" s="53">
        <v>268.98</v>
      </c>
    </row>
    <row r="78" spans="1:20" s="56" customFormat="1" ht="12" x14ac:dyDescent="0.2">
      <c r="A78" s="73" t="s">
        <v>78</v>
      </c>
      <c r="B78" s="73" t="s">
        <v>129</v>
      </c>
      <c r="C78" s="74" t="s">
        <v>130</v>
      </c>
      <c r="D78" s="73" t="s">
        <v>102</v>
      </c>
      <c r="E78" s="75">
        <v>2</v>
      </c>
      <c r="F78" s="75">
        <f t="shared" si="22"/>
        <v>134.49</v>
      </c>
      <c r="G78" s="75">
        <f t="shared" si="23"/>
        <v>171.6</v>
      </c>
      <c r="H78" s="76">
        <f t="shared" si="24"/>
        <v>343.2</v>
      </c>
      <c r="I78" s="75"/>
      <c r="J78" s="75">
        <v>2</v>
      </c>
      <c r="K78" s="75">
        <f t="shared" si="15"/>
        <v>0</v>
      </c>
      <c r="L78" s="76">
        <f t="shared" si="25"/>
        <v>268.98</v>
      </c>
      <c r="M78" s="76">
        <f t="shared" si="26"/>
        <v>0</v>
      </c>
      <c r="N78" s="76">
        <f t="shared" si="27"/>
        <v>343.2</v>
      </c>
      <c r="O78" s="76">
        <f t="shared" si="28"/>
        <v>0</v>
      </c>
      <c r="P78" s="90">
        <f t="shared" si="21"/>
        <v>1</v>
      </c>
      <c r="Q78" s="51"/>
      <c r="T78" s="53">
        <v>134.49</v>
      </c>
    </row>
    <row r="79" spans="1:20" s="56" customFormat="1" ht="12" x14ac:dyDescent="0.2">
      <c r="A79" s="73" t="s">
        <v>78</v>
      </c>
      <c r="B79" s="73" t="s">
        <v>131</v>
      </c>
      <c r="C79" s="74" t="s">
        <v>132</v>
      </c>
      <c r="D79" s="73" t="s">
        <v>102</v>
      </c>
      <c r="E79" s="75">
        <v>10</v>
      </c>
      <c r="F79" s="75">
        <f t="shared" si="22"/>
        <v>313.92</v>
      </c>
      <c r="G79" s="75">
        <f t="shared" si="23"/>
        <v>400.53</v>
      </c>
      <c r="H79" s="76">
        <f t="shared" si="24"/>
        <v>4005.3</v>
      </c>
      <c r="I79" s="75"/>
      <c r="J79" s="75">
        <v>10</v>
      </c>
      <c r="K79" s="75">
        <f t="shared" si="15"/>
        <v>0</v>
      </c>
      <c r="L79" s="76">
        <f t="shared" si="25"/>
        <v>3139.2</v>
      </c>
      <c r="M79" s="76">
        <f t="shared" si="26"/>
        <v>0</v>
      </c>
      <c r="N79" s="76">
        <f t="shared" si="27"/>
        <v>4005.2999999999997</v>
      </c>
      <c r="O79" s="76">
        <f t="shared" si="28"/>
        <v>0</v>
      </c>
      <c r="P79" s="90">
        <f t="shared" si="21"/>
        <v>0.99999999999999989</v>
      </c>
      <c r="Q79" s="51"/>
      <c r="T79" s="53">
        <v>313.92</v>
      </c>
    </row>
    <row r="80" spans="1:20" s="56" customFormat="1" ht="12" x14ac:dyDescent="0.2">
      <c r="A80" s="73" t="s">
        <v>78</v>
      </c>
      <c r="B80" s="73" t="s">
        <v>133</v>
      </c>
      <c r="C80" s="74" t="s">
        <v>134</v>
      </c>
      <c r="D80" s="73" t="s">
        <v>102</v>
      </c>
      <c r="E80" s="75">
        <v>8</v>
      </c>
      <c r="F80" s="75">
        <f t="shared" si="22"/>
        <v>627.62</v>
      </c>
      <c r="G80" s="75">
        <f t="shared" si="23"/>
        <v>800.78</v>
      </c>
      <c r="H80" s="76">
        <f t="shared" si="24"/>
        <v>6406.24</v>
      </c>
      <c r="I80" s="75"/>
      <c r="J80" s="75">
        <v>8</v>
      </c>
      <c r="K80" s="75">
        <f t="shared" si="15"/>
        <v>0</v>
      </c>
      <c r="L80" s="76">
        <f t="shared" si="25"/>
        <v>5020.96</v>
      </c>
      <c r="M80" s="76">
        <f t="shared" si="26"/>
        <v>0</v>
      </c>
      <c r="N80" s="76">
        <f t="shared" si="27"/>
        <v>6406.24</v>
      </c>
      <c r="O80" s="76">
        <f t="shared" si="28"/>
        <v>0</v>
      </c>
      <c r="P80" s="90">
        <f t="shared" si="21"/>
        <v>1</v>
      </c>
      <c r="Q80" s="51"/>
      <c r="T80" s="53">
        <v>627.62</v>
      </c>
    </row>
    <row r="81" spans="1:20" s="56" customFormat="1" ht="12" x14ac:dyDescent="0.2">
      <c r="A81" s="73" t="s">
        <v>78</v>
      </c>
      <c r="B81" s="73" t="s">
        <v>135</v>
      </c>
      <c r="C81" s="74" t="s">
        <v>136</v>
      </c>
      <c r="D81" s="73" t="s">
        <v>102</v>
      </c>
      <c r="E81" s="75">
        <v>2</v>
      </c>
      <c r="F81" s="75">
        <f t="shared" si="22"/>
        <v>358.64</v>
      </c>
      <c r="G81" s="75">
        <f t="shared" si="23"/>
        <v>457.59</v>
      </c>
      <c r="H81" s="76">
        <f t="shared" si="24"/>
        <v>915.18</v>
      </c>
      <c r="I81" s="75"/>
      <c r="J81" s="75">
        <v>2</v>
      </c>
      <c r="K81" s="75">
        <f t="shared" si="15"/>
        <v>0</v>
      </c>
      <c r="L81" s="76">
        <f t="shared" si="25"/>
        <v>717.28</v>
      </c>
      <c r="M81" s="76">
        <f t="shared" si="26"/>
        <v>0</v>
      </c>
      <c r="N81" s="76">
        <f t="shared" si="27"/>
        <v>915.18</v>
      </c>
      <c r="O81" s="76">
        <f t="shared" si="28"/>
        <v>0</v>
      </c>
      <c r="P81" s="90">
        <f t="shared" si="21"/>
        <v>1</v>
      </c>
      <c r="Q81" s="51"/>
      <c r="T81" s="53">
        <v>358.64</v>
      </c>
    </row>
    <row r="82" spans="1:20" s="56" customFormat="1" ht="12" x14ac:dyDescent="0.2">
      <c r="A82" s="73" t="s">
        <v>78</v>
      </c>
      <c r="B82" s="73" t="s">
        <v>137</v>
      </c>
      <c r="C82" s="74" t="s">
        <v>138</v>
      </c>
      <c r="D82" s="73" t="s">
        <v>102</v>
      </c>
      <c r="E82" s="75">
        <v>2</v>
      </c>
      <c r="F82" s="75">
        <f t="shared" si="22"/>
        <v>448.3</v>
      </c>
      <c r="G82" s="75">
        <f t="shared" si="23"/>
        <v>571.99</v>
      </c>
      <c r="H82" s="76">
        <f t="shared" si="24"/>
        <v>1143.98</v>
      </c>
      <c r="I82" s="75"/>
      <c r="J82" s="75">
        <v>2</v>
      </c>
      <c r="K82" s="75">
        <f t="shared" si="15"/>
        <v>0</v>
      </c>
      <c r="L82" s="76">
        <f t="shared" si="25"/>
        <v>896.6</v>
      </c>
      <c r="M82" s="76">
        <f t="shared" si="26"/>
        <v>0</v>
      </c>
      <c r="N82" s="76">
        <f t="shared" si="27"/>
        <v>1143.98</v>
      </c>
      <c r="O82" s="76">
        <f t="shared" si="28"/>
        <v>0</v>
      </c>
      <c r="P82" s="90">
        <f t="shared" si="21"/>
        <v>1</v>
      </c>
      <c r="Q82" s="51"/>
      <c r="T82" s="53">
        <v>448.3</v>
      </c>
    </row>
    <row r="83" spans="1:20" s="56" customFormat="1" ht="12" x14ac:dyDescent="0.2">
      <c r="A83" s="73" t="s">
        <v>78</v>
      </c>
      <c r="B83" s="73" t="s">
        <v>139</v>
      </c>
      <c r="C83" s="74" t="s">
        <v>140</v>
      </c>
      <c r="D83" s="73" t="s">
        <v>102</v>
      </c>
      <c r="E83" s="75">
        <v>14</v>
      </c>
      <c r="F83" s="75">
        <f t="shared" si="22"/>
        <v>124.52</v>
      </c>
      <c r="G83" s="75">
        <f t="shared" si="23"/>
        <v>158.88</v>
      </c>
      <c r="H83" s="76">
        <f t="shared" si="24"/>
        <v>2224.3200000000002</v>
      </c>
      <c r="I83" s="75"/>
      <c r="J83" s="75">
        <v>14</v>
      </c>
      <c r="K83" s="75">
        <f t="shared" si="15"/>
        <v>0</v>
      </c>
      <c r="L83" s="76">
        <f t="shared" si="25"/>
        <v>1743.28</v>
      </c>
      <c r="M83" s="76">
        <f t="shared" si="26"/>
        <v>0</v>
      </c>
      <c r="N83" s="76">
        <f t="shared" si="27"/>
        <v>2224.3199999999997</v>
      </c>
      <c r="O83" s="76">
        <f t="shared" si="28"/>
        <v>0</v>
      </c>
      <c r="P83" s="90">
        <f t="shared" si="21"/>
        <v>0.99999999999999978</v>
      </c>
      <c r="Q83" s="51"/>
      <c r="T83" s="53">
        <v>124.52</v>
      </c>
    </row>
    <row r="84" spans="1:20" s="56" customFormat="1" ht="12" x14ac:dyDescent="0.2">
      <c r="A84" s="73" t="s">
        <v>78</v>
      </c>
      <c r="B84" s="73" t="s">
        <v>141</v>
      </c>
      <c r="C84" s="74" t="s">
        <v>142</v>
      </c>
      <c r="D84" s="73" t="s">
        <v>102</v>
      </c>
      <c r="E84" s="75">
        <v>1</v>
      </c>
      <c r="F84" s="75">
        <f t="shared" si="22"/>
        <v>390.13</v>
      </c>
      <c r="G84" s="75">
        <f t="shared" si="23"/>
        <v>497.77</v>
      </c>
      <c r="H84" s="76">
        <f t="shared" si="24"/>
        <v>497.77</v>
      </c>
      <c r="I84" s="75"/>
      <c r="J84" s="75">
        <v>1</v>
      </c>
      <c r="K84" s="75">
        <f t="shared" si="15"/>
        <v>0</v>
      </c>
      <c r="L84" s="76">
        <f t="shared" si="25"/>
        <v>390.13</v>
      </c>
      <c r="M84" s="76">
        <f t="shared" si="26"/>
        <v>0</v>
      </c>
      <c r="N84" s="76">
        <f t="shared" si="27"/>
        <v>497.77</v>
      </c>
      <c r="O84" s="76">
        <f t="shared" si="28"/>
        <v>0</v>
      </c>
      <c r="P84" s="90">
        <f t="shared" si="21"/>
        <v>1</v>
      </c>
      <c r="Q84" s="51"/>
      <c r="T84" s="53">
        <v>390.13</v>
      </c>
    </row>
    <row r="85" spans="1:20" s="56" customFormat="1" ht="12" x14ac:dyDescent="0.2">
      <c r="A85" s="73" t="s">
        <v>78</v>
      </c>
      <c r="B85" s="73" t="s">
        <v>143</v>
      </c>
      <c r="C85" s="74" t="s">
        <v>144</v>
      </c>
      <c r="D85" s="73" t="s">
        <v>102</v>
      </c>
      <c r="E85" s="75">
        <v>1</v>
      </c>
      <c r="F85" s="75">
        <f t="shared" si="22"/>
        <v>975.33</v>
      </c>
      <c r="G85" s="75">
        <f t="shared" si="23"/>
        <v>1244.42</v>
      </c>
      <c r="H85" s="76">
        <f t="shared" si="24"/>
        <v>1244.42</v>
      </c>
      <c r="I85" s="75"/>
      <c r="J85" s="75">
        <v>1</v>
      </c>
      <c r="K85" s="75">
        <f t="shared" si="15"/>
        <v>0</v>
      </c>
      <c r="L85" s="76">
        <f t="shared" si="25"/>
        <v>975.33</v>
      </c>
      <c r="M85" s="76">
        <f t="shared" si="26"/>
        <v>0</v>
      </c>
      <c r="N85" s="76">
        <f t="shared" si="27"/>
        <v>1244.42</v>
      </c>
      <c r="O85" s="76">
        <f t="shared" si="28"/>
        <v>0</v>
      </c>
      <c r="P85" s="90">
        <f t="shared" si="21"/>
        <v>1</v>
      </c>
      <c r="Q85" s="51"/>
      <c r="T85" s="53">
        <v>975.33</v>
      </c>
    </row>
    <row r="86" spans="1:20" s="56" customFormat="1" ht="12" x14ac:dyDescent="0.2">
      <c r="A86" s="73" t="s">
        <v>78</v>
      </c>
      <c r="B86" s="73" t="s">
        <v>145</v>
      </c>
      <c r="C86" s="74" t="s">
        <v>146</v>
      </c>
      <c r="D86" s="73" t="s">
        <v>102</v>
      </c>
      <c r="E86" s="75">
        <v>2</v>
      </c>
      <c r="F86" s="75">
        <f t="shared" si="22"/>
        <v>585.20000000000005</v>
      </c>
      <c r="G86" s="75">
        <f t="shared" si="23"/>
        <v>746.66</v>
      </c>
      <c r="H86" s="76">
        <f t="shared" si="24"/>
        <v>1493.32</v>
      </c>
      <c r="I86" s="75"/>
      <c r="J86" s="75">
        <v>2</v>
      </c>
      <c r="K86" s="75">
        <f t="shared" si="15"/>
        <v>0</v>
      </c>
      <c r="L86" s="76">
        <f t="shared" si="25"/>
        <v>1170.4000000000001</v>
      </c>
      <c r="M86" s="76">
        <f t="shared" si="26"/>
        <v>0</v>
      </c>
      <c r="N86" s="76">
        <f t="shared" si="27"/>
        <v>1493.32</v>
      </c>
      <c r="O86" s="76">
        <f t="shared" si="28"/>
        <v>0</v>
      </c>
      <c r="P86" s="90">
        <f t="shared" si="21"/>
        <v>1</v>
      </c>
      <c r="Q86" s="51"/>
      <c r="T86" s="53">
        <v>585.20000000000005</v>
      </c>
    </row>
    <row r="87" spans="1:20" s="56" customFormat="1" ht="12" x14ac:dyDescent="0.2">
      <c r="A87" s="73" t="s">
        <v>78</v>
      </c>
      <c r="B87" s="73" t="s">
        <v>147</v>
      </c>
      <c r="C87" s="74" t="s">
        <v>148</v>
      </c>
      <c r="D87" s="73" t="s">
        <v>102</v>
      </c>
      <c r="E87" s="75">
        <v>1</v>
      </c>
      <c r="F87" s="75">
        <f t="shared" si="22"/>
        <v>877.8</v>
      </c>
      <c r="G87" s="75">
        <f t="shared" si="23"/>
        <v>1119.99</v>
      </c>
      <c r="H87" s="76">
        <f t="shared" si="24"/>
        <v>1119.99</v>
      </c>
      <c r="I87" s="75"/>
      <c r="J87" s="75">
        <v>1</v>
      </c>
      <c r="K87" s="75">
        <f t="shared" si="15"/>
        <v>0</v>
      </c>
      <c r="L87" s="76">
        <f t="shared" si="25"/>
        <v>877.8</v>
      </c>
      <c r="M87" s="76">
        <f t="shared" si="26"/>
        <v>0</v>
      </c>
      <c r="N87" s="76">
        <f t="shared" si="27"/>
        <v>1119.99</v>
      </c>
      <c r="O87" s="76">
        <f t="shared" si="28"/>
        <v>0</v>
      </c>
      <c r="P87" s="90">
        <f t="shared" si="21"/>
        <v>1</v>
      </c>
      <c r="Q87" s="51"/>
      <c r="T87" s="53">
        <v>877.8</v>
      </c>
    </row>
    <row r="88" spans="1:20" s="56" customFormat="1" ht="12" x14ac:dyDescent="0.2">
      <c r="A88" s="73" t="s">
        <v>78</v>
      </c>
      <c r="B88" s="73" t="s">
        <v>149</v>
      </c>
      <c r="C88" s="74" t="s">
        <v>150</v>
      </c>
      <c r="D88" s="73" t="s">
        <v>102</v>
      </c>
      <c r="E88" s="75">
        <v>1</v>
      </c>
      <c r="F88" s="75">
        <f t="shared" si="22"/>
        <v>1170.4100000000001</v>
      </c>
      <c r="G88" s="75">
        <f t="shared" si="23"/>
        <v>1493.33</v>
      </c>
      <c r="H88" s="76">
        <f t="shared" si="24"/>
        <v>1493.33</v>
      </c>
      <c r="I88" s="75"/>
      <c r="J88" s="75">
        <v>1</v>
      </c>
      <c r="K88" s="75">
        <f t="shared" si="15"/>
        <v>0</v>
      </c>
      <c r="L88" s="76">
        <f t="shared" si="25"/>
        <v>1170.4100000000001</v>
      </c>
      <c r="M88" s="76">
        <f t="shared" si="26"/>
        <v>0</v>
      </c>
      <c r="N88" s="76">
        <f t="shared" si="27"/>
        <v>1493.33</v>
      </c>
      <c r="O88" s="76">
        <f t="shared" si="28"/>
        <v>0</v>
      </c>
      <c r="P88" s="90">
        <f t="shared" si="21"/>
        <v>1</v>
      </c>
      <c r="Q88" s="51"/>
      <c r="T88" s="51">
        <v>1170.4100000000001</v>
      </c>
    </row>
    <row r="89" spans="1:20" s="56" customFormat="1" ht="12" x14ac:dyDescent="0.2">
      <c r="A89" s="73" t="s">
        <v>78</v>
      </c>
      <c r="B89" s="73" t="s">
        <v>151</v>
      </c>
      <c r="C89" s="74" t="s">
        <v>152</v>
      </c>
      <c r="D89" s="73" t="s">
        <v>102</v>
      </c>
      <c r="E89" s="75">
        <v>2</v>
      </c>
      <c r="F89" s="75">
        <f t="shared" si="22"/>
        <v>1560.54</v>
      </c>
      <c r="G89" s="75">
        <f t="shared" si="23"/>
        <v>1991.09</v>
      </c>
      <c r="H89" s="76">
        <f t="shared" si="24"/>
        <v>3982.18</v>
      </c>
      <c r="I89" s="75"/>
      <c r="J89" s="75">
        <v>2</v>
      </c>
      <c r="K89" s="75">
        <f t="shared" si="15"/>
        <v>0</v>
      </c>
      <c r="L89" s="76">
        <f t="shared" si="25"/>
        <v>3121.08</v>
      </c>
      <c r="M89" s="76">
        <f t="shared" si="26"/>
        <v>0</v>
      </c>
      <c r="N89" s="76">
        <f t="shared" si="27"/>
        <v>3982.18</v>
      </c>
      <c r="O89" s="76">
        <f t="shared" si="28"/>
        <v>0</v>
      </c>
      <c r="P89" s="90">
        <f t="shared" si="21"/>
        <v>1</v>
      </c>
      <c r="Q89" s="51"/>
      <c r="T89" s="51">
        <v>1560.54</v>
      </c>
    </row>
    <row r="90" spans="1:20" s="56" customFormat="1" ht="12" x14ac:dyDescent="0.2">
      <c r="A90" s="73" t="s">
        <v>78</v>
      </c>
      <c r="B90" s="73" t="s">
        <v>153</v>
      </c>
      <c r="C90" s="74" t="s">
        <v>154</v>
      </c>
      <c r="D90" s="73" t="s">
        <v>102</v>
      </c>
      <c r="E90" s="75">
        <v>2</v>
      </c>
      <c r="F90" s="75">
        <f t="shared" si="22"/>
        <v>1950.67</v>
      </c>
      <c r="G90" s="75">
        <f t="shared" si="23"/>
        <v>2488.86</v>
      </c>
      <c r="H90" s="76">
        <f t="shared" si="24"/>
        <v>4977.72</v>
      </c>
      <c r="I90" s="75"/>
      <c r="J90" s="75">
        <v>2</v>
      </c>
      <c r="K90" s="75">
        <f t="shared" si="15"/>
        <v>0</v>
      </c>
      <c r="L90" s="76">
        <f t="shared" si="25"/>
        <v>3901.34</v>
      </c>
      <c r="M90" s="76">
        <f t="shared" si="26"/>
        <v>0</v>
      </c>
      <c r="N90" s="76">
        <f t="shared" si="27"/>
        <v>4977.72</v>
      </c>
      <c r="O90" s="76">
        <f t="shared" si="28"/>
        <v>0</v>
      </c>
      <c r="P90" s="90">
        <f t="shared" si="21"/>
        <v>1</v>
      </c>
      <c r="Q90" s="51"/>
      <c r="T90" s="51">
        <v>1950.67</v>
      </c>
    </row>
    <row r="91" spans="1:20" s="56" customFormat="1" ht="12" x14ac:dyDescent="0.2">
      <c r="A91" s="73" t="s">
        <v>78</v>
      </c>
      <c r="B91" s="73" t="s">
        <v>155</v>
      </c>
      <c r="C91" s="74" t="s">
        <v>156</v>
      </c>
      <c r="D91" s="73" t="s">
        <v>102</v>
      </c>
      <c r="E91" s="75">
        <v>5</v>
      </c>
      <c r="F91" s="75">
        <f t="shared" si="22"/>
        <v>2340.81</v>
      </c>
      <c r="G91" s="75">
        <f t="shared" si="23"/>
        <v>2986.64</v>
      </c>
      <c r="H91" s="76">
        <f t="shared" si="24"/>
        <v>14933.2</v>
      </c>
      <c r="I91" s="75"/>
      <c r="J91" s="75">
        <v>5</v>
      </c>
      <c r="K91" s="75">
        <f t="shared" si="15"/>
        <v>0</v>
      </c>
      <c r="L91" s="76">
        <f t="shared" si="25"/>
        <v>11704.05</v>
      </c>
      <c r="M91" s="76">
        <f t="shared" si="26"/>
        <v>0</v>
      </c>
      <c r="N91" s="76">
        <f t="shared" si="27"/>
        <v>14933.199999999999</v>
      </c>
      <c r="O91" s="76">
        <f t="shared" si="28"/>
        <v>0</v>
      </c>
      <c r="P91" s="90">
        <f t="shared" si="21"/>
        <v>0.99999999999999989</v>
      </c>
      <c r="Q91" s="51"/>
      <c r="T91" s="51">
        <v>2340.81</v>
      </c>
    </row>
    <row r="92" spans="1:20" s="56" customFormat="1" ht="12" x14ac:dyDescent="0.2">
      <c r="A92" s="73" t="s">
        <v>78</v>
      </c>
      <c r="B92" s="73" t="s">
        <v>157</v>
      </c>
      <c r="C92" s="74" t="s">
        <v>158</v>
      </c>
      <c r="D92" s="73" t="s">
        <v>102</v>
      </c>
      <c r="E92" s="75">
        <v>4</v>
      </c>
      <c r="F92" s="75">
        <f t="shared" si="22"/>
        <v>3121.08</v>
      </c>
      <c r="G92" s="75">
        <f t="shared" si="23"/>
        <v>3982.19</v>
      </c>
      <c r="H92" s="76">
        <f t="shared" si="24"/>
        <v>15928.76</v>
      </c>
      <c r="I92" s="75"/>
      <c r="J92" s="75">
        <v>4</v>
      </c>
      <c r="K92" s="75">
        <f t="shared" si="15"/>
        <v>0</v>
      </c>
      <c r="L92" s="76">
        <f t="shared" si="25"/>
        <v>12484.32</v>
      </c>
      <c r="M92" s="76">
        <f t="shared" si="26"/>
        <v>0</v>
      </c>
      <c r="N92" s="76">
        <f t="shared" si="27"/>
        <v>15928.76</v>
      </c>
      <c r="O92" s="76">
        <f t="shared" si="28"/>
        <v>0</v>
      </c>
      <c r="P92" s="90">
        <f t="shared" si="21"/>
        <v>1</v>
      </c>
      <c r="Q92" s="51"/>
      <c r="T92" s="51">
        <v>3121.08</v>
      </c>
    </row>
    <row r="93" spans="1:20" s="56" customFormat="1" ht="12" x14ac:dyDescent="0.2">
      <c r="A93" s="73" t="s">
        <v>78</v>
      </c>
      <c r="B93" s="73" t="s">
        <v>159</v>
      </c>
      <c r="C93" s="74" t="s">
        <v>160</v>
      </c>
      <c r="D93" s="73" t="s">
        <v>102</v>
      </c>
      <c r="E93" s="75">
        <v>1</v>
      </c>
      <c r="F93" s="75">
        <f t="shared" si="22"/>
        <v>1137.9000000000001</v>
      </c>
      <c r="G93" s="75">
        <f t="shared" si="23"/>
        <v>1451.85</v>
      </c>
      <c r="H93" s="76">
        <f t="shared" si="24"/>
        <v>1451.85</v>
      </c>
      <c r="I93" s="75"/>
      <c r="J93" s="75">
        <v>1</v>
      </c>
      <c r="K93" s="75">
        <f t="shared" si="15"/>
        <v>0</v>
      </c>
      <c r="L93" s="76">
        <f t="shared" si="25"/>
        <v>1137.9000000000001</v>
      </c>
      <c r="M93" s="76">
        <f t="shared" si="26"/>
        <v>0</v>
      </c>
      <c r="N93" s="76">
        <f t="shared" si="27"/>
        <v>1451.85</v>
      </c>
      <c r="O93" s="76">
        <f t="shared" si="28"/>
        <v>0</v>
      </c>
      <c r="P93" s="90">
        <f t="shared" si="21"/>
        <v>1</v>
      </c>
      <c r="Q93" s="51"/>
      <c r="T93" s="51">
        <v>1137.9000000000001</v>
      </c>
    </row>
    <row r="94" spans="1:20" s="56" customFormat="1" ht="12" x14ac:dyDescent="0.2">
      <c r="A94" s="73" t="s">
        <v>161</v>
      </c>
      <c r="B94" s="73" t="s">
        <v>162</v>
      </c>
      <c r="C94" s="74" t="s">
        <v>163</v>
      </c>
      <c r="D94" s="73" t="s">
        <v>14</v>
      </c>
      <c r="E94" s="75">
        <v>10.26</v>
      </c>
      <c r="F94" s="75">
        <f t="shared" si="22"/>
        <v>18.63</v>
      </c>
      <c r="G94" s="75">
        <f t="shared" si="23"/>
        <v>23.77</v>
      </c>
      <c r="H94" s="76">
        <f t="shared" si="24"/>
        <v>243.88</v>
      </c>
      <c r="I94" s="75"/>
      <c r="J94" s="75">
        <v>10.26</v>
      </c>
      <c r="K94" s="75">
        <f t="shared" si="15"/>
        <v>0</v>
      </c>
      <c r="L94" s="76">
        <f t="shared" si="25"/>
        <v>191.14</v>
      </c>
      <c r="M94" s="76">
        <f t="shared" si="26"/>
        <v>0</v>
      </c>
      <c r="N94" s="76">
        <f t="shared" si="27"/>
        <v>243.8802</v>
      </c>
      <c r="O94" s="76">
        <f t="shared" si="28"/>
        <v>-2.0000000000663931E-4</v>
      </c>
      <c r="P94" s="90">
        <f t="shared" si="21"/>
        <v>1.0000008200754469</v>
      </c>
      <c r="Q94" s="51"/>
      <c r="T94" s="53">
        <v>18.63</v>
      </c>
    </row>
    <row r="95" spans="1:20" s="56" customFormat="1" ht="24" x14ac:dyDescent="0.2">
      <c r="A95" s="73" t="s">
        <v>120</v>
      </c>
      <c r="B95" s="73" t="s">
        <v>164</v>
      </c>
      <c r="C95" s="74" t="s">
        <v>165</v>
      </c>
      <c r="D95" s="73" t="s">
        <v>102</v>
      </c>
      <c r="E95" s="75">
        <v>9</v>
      </c>
      <c r="F95" s="75">
        <f t="shared" si="22"/>
        <v>582.46</v>
      </c>
      <c r="G95" s="75">
        <f t="shared" si="23"/>
        <v>743.16</v>
      </c>
      <c r="H95" s="76">
        <f t="shared" si="24"/>
        <v>6688.44</v>
      </c>
      <c r="I95" s="75"/>
      <c r="J95" s="75">
        <v>9</v>
      </c>
      <c r="K95" s="75">
        <f t="shared" si="15"/>
        <v>0</v>
      </c>
      <c r="L95" s="76">
        <f t="shared" si="25"/>
        <v>5242.1400000000003</v>
      </c>
      <c r="M95" s="76">
        <f t="shared" si="26"/>
        <v>0</v>
      </c>
      <c r="N95" s="76">
        <f t="shared" si="27"/>
        <v>6688.44</v>
      </c>
      <c r="O95" s="76">
        <f t="shared" si="28"/>
        <v>0</v>
      </c>
      <c r="P95" s="90">
        <f t="shared" si="21"/>
        <v>1</v>
      </c>
      <c r="Q95" s="51"/>
      <c r="T95" s="53">
        <v>582.46</v>
      </c>
    </row>
    <row r="96" spans="1:20" s="56" customFormat="1" ht="12" x14ac:dyDescent="0.2">
      <c r="A96" s="72"/>
      <c r="B96" s="70" t="s">
        <v>172</v>
      </c>
      <c r="C96" s="71" t="s">
        <v>173</v>
      </c>
      <c r="D96" s="72"/>
      <c r="E96" s="72"/>
      <c r="F96" s="75"/>
      <c r="G96" s="72"/>
      <c r="H96" s="72"/>
      <c r="I96" s="72"/>
      <c r="J96" s="75"/>
      <c r="K96" s="75"/>
      <c r="L96" s="72"/>
      <c r="M96" s="76"/>
      <c r="N96" s="76"/>
      <c r="O96" s="76"/>
      <c r="P96" s="90"/>
      <c r="Q96" s="52"/>
      <c r="T96" s="52"/>
    </row>
    <row r="97" spans="1:20" s="56" customFormat="1" ht="12" x14ac:dyDescent="0.2">
      <c r="A97" s="94">
        <v>68054</v>
      </c>
      <c r="B97" s="73" t="s">
        <v>174</v>
      </c>
      <c r="C97" s="74" t="s">
        <v>175</v>
      </c>
      <c r="D97" s="73" t="s">
        <v>102</v>
      </c>
      <c r="E97" s="75">
        <v>5</v>
      </c>
      <c r="F97" s="75">
        <f>ROUND(T97*$T$10,2)</f>
        <v>180.11</v>
      </c>
      <c r="G97" s="75">
        <f>ROUND(F97*(1+$U$1),2)</f>
        <v>229.8</v>
      </c>
      <c r="H97" s="76">
        <f>ROUND(E97*G97,2)</f>
        <v>1149</v>
      </c>
      <c r="I97" s="75"/>
      <c r="J97" s="75">
        <v>5</v>
      </c>
      <c r="K97" s="75">
        <f t="shared" si="15"/>
        <v>0</v>
      </c>
      <c r="L97" s="76">
        <f>ROUND(E97*F97,2)</f>
        <v>900.55</v>
      </c>
      <c r="M97" s="76">
        <f>I97*G97</f>
        <v>0</v>
      </c>
      <c r="N97" s="76">
        <f>J97*G97</f>
        <v>1149</v>
      </c>
      <c r="O97" s="76">
        <f>H97-N97</f>
        <v>0</v>
      </c>
      <c r="P97" s="90">
        <f t="shared" si="21"/>
        <v>1</v>
      </c>
      <c r="Q97" s="51"/>
      <c r="T97" s="53">
        <v>180.11</v>
      </c>
    </row>
    <row r="98" spans="1:20" s="56" customFormat="1" ht="12" x14ac:dyDescent="0.2">
      <c r="A98" s="94">
        <v>68054</v>
      </c>
      <c r="B98" s="73" t="s">
        <v>176</v>
      </c>
      <c r="C98" s="74" t="s">
        <v>177</v>
      </c>
      <c r="D98" s="73" t="s">
        <v>102</v>
      </c>
      <c r="E98" s="75">
        <v>1</v>
      </c>
      <c r="F98" s="75">
        <f>ROUND(T98*$T$10,2)</f>
        <v>327.47000000000003</v>
      </c>
      <c r="G98" s="75">
        <f>ROUND(F98*(1+$U$1),2)</f>
        <v>417.82</v>
      </c>
      <c r="H98" s="76">
        <f>ROUND(E98*G98,2)</f>
        <v>417.82</v>
      </c>
      <c r="I98" s="75"/>
      <c r="J98" s="75">
        <v>1</v>
      </c>
      <c r="K98" s="75">
        <f t="shared" si="15"/>
        <v>0</v>
      </c>
      <c r="L98" s="76">
        <f>ROUND(E98*F98,2)</f>
        <v>327.47000000000003</v>
      </c>
      <c r="M98" s="76">
        <f>I98*G98</f>
        <v>0</v>
      </c>
      <c r="N98" s="76">
        <f>J98*G98</f>
        <v>417.82</v>
      </c>
      <c r="O98" s="76">
        <f>H98-N98</f>
        <v>0</v>
      </c>
      <c r="P98" s="90">
        <f t="shared" si="21"/>
        <v>1</v>
      </c>
      <c r="Q98" s="51"/>
      <c r="T98" s="53">
        <v>327.47000000000003</v>
      </c>
    </row>
    <row r="99" spans="1:20" s="56" customFormat="1" ht="12" x14ac:dyDescent="0.2">
      <c r="A99" s="73" t="s">
        <v>178</v>
      </c>
      <c r="B99" s="73" t="s">
        <v>179</v>
      </c>
      <c r="C99" s="74" t="s">
        <v>180</v>
      </c>
      <c r="D99" s="73" t="s">
        <v>14</v>
      </c>
      <c r="E99" s="75">
        <v>12.6</v>
      </c>
      <c r="F99" s="75">
        <f>ROUND(T99*$T$10,2)</f>
        <v>381.87</v>
      </c>
      <c r="G99" s="75">
        <f>ROUND(F99*(1+$U$1),2)</f>
        <v>487.23</v>
      </c>
      <c r="H99" s="76">
        <f>ROUND(E99*G99,2)</f>
        <v>6139.1</v>
      </c>
      <c r="I99" s="75"/>
      <c r="J99" s="75">
        <v>12.6</v>
      </c>
      <c r="K99" s="75">
        <f t="shared" si="15"/>
        <v>0</v>
      </c>
      <c r="L99" s="76">
        <f>ROUND(E99*F99,2)</f>
        <v>4811.5600000000004</v>
      </c>
      <c r="M99" s="76">
        <f>I99*G99</f>
        <v>0</v>
      </c>
      <c r="N99" s="76">
        <f>J99*G99</f>
        <v>6139.098</v>
      </c>
      <c r="O99" s="76">
        <f>H99-N99</f>
        <v>2.0000000004074536E-3</v>
      </c>
      <c r="P99" s="90">
        <f t="shared" si="21"/>
        <v>0.9999996742193481</v>
      </c>
      <c r="Q99" s="51"/>
      <c r="T99" s="53">
        <v>381.87</v>
      </c>
    </row>
    <row r="100" spans="1:20" s="56" customFormat="1" ht="12" x14ac:dyDescent="0.2">
      <c r="A100" s="72"/>
      <c r="B100" s="71"/>
      <c r="C100" s="71"/>
      <c r="D100" s="71"/>
      <c r="E100" s="71"/>
      <c r="F100" s="75"/>
      <c r="G100" s="77" t="s">
        <v>181</v>
      </c>
      <c r="H100" s="78">
        <f>SUM(H74:H99)</f>
        <v>84161.35000000002</v>
      </c>
      <c r="I100" s="71"/>
      <c r="J100" s="75">
        <v>0</v>
      </c>
      <c r="K100" s="75">
        <f t="shared" si="15"/>
        <v>0</v>
      </c>
      <c r="L100" s="78">
        <f>SUM(L74:L99)</f>
        <v>65962.240000000005</v>
      </c>
      <c r="M100" s="78">
        <f>SUM(M74:M99)</f>
        <v>0</v>
      </c>
      <c r="N100" s="78">
        <f>SUM(N74:N99)</f>
        <v>84161.348200000008</v>
      </c>
      <c r="O100" s="78">
        <f>SUM(O74:O99)</f>
        <v>1.8000000004008143E-3</v>
      </c>
      <c r="P100" s="91">
        <f t="shared" si="21"/>
        <v>0.99999997861251022</v>
      </c>
      <c r="Q100" s="60"/>
      <c r="T100" s="59"/>
    </row>
    <row r="101" spans="1:20" s="56" customFormat="1" ht="12" x14ac:dyDescent="0.2">
      <c r="A101" s="72"/>
      <c r="B101" s="69"/>
      <c r="C101" s="71"/>
      <c r="D101" s="71"/>
      <c r="E101" s="71"/>
      <c r="F101" s="75"/>
      <c r="G101" s="77" t="s">
        <v>182</v>
      </c>
      <c r="H101" s="78">
        <f>SUM(H71,H100)</f>
        <v>111256.17000000001</v>
      </c>
      <c r="I101" s="71"/>
      <c r="J101" s="75">
        <v>0</v>
      </c>
      <c r="K101" s="75">
        <f t="shared" si="15"/>
        <v>0</v>
      </c>
      <c r="L101" s="78">
        <f>SUM(L71,L100)</f>
        <v>87198.06</v>
      </c>
      <c r="M101" s="78">
        <f>SUM(M71,M100)</f>
        <v>0</v>
      </c>
      <c r="N101" s="78">
        <f>SUM(N71,N100)</f>
        <v>111256.16820000001</v>
      </c>
      <c r="O101" s="78">
        <f>SUM(O71,O100)</f>
        <v>1.8000000004008143E-3</v>
      </c>
      <c r="P101" s="91">
        <f t="shared" si="21"/>
        <v>0.99999998382112198</v>
      </c>
      <c r="Q101" s="60">
        <f>H101-N101</f>
        <v>1.799999998183921E-3</v>
      </c>
      <c r="T101" s="59"/>
    </row>
    <row r="102" spans="1:20" s="56" customFormat="1" ht="12" x14ac:dyDescent="0.2">
      <c r="A102" s="72"/>
      <c r="B102" s="70" t="s">
        <v>183</v>
      </c>
      <c r="C102" s="71" t="s">
        <v>184</v>
      </c>
      <c r="D102" s="71"/>
      <c r="E102" s="71"/>
      <c r="F102" s="75"/>
      <c r="G102" s="71"/>
      <c r="H102" s="72"/>
      <c r="I102" s="71"/>
      <c r="J102" s="75"/>
      <c r="K102" s="75"/>
      <c r="L102" s="71"/>
      <c r="M102" s="72"/>
      <c r="N102" s="72"/>
      <c r="O102" s="72"/>
      <c r="P102" s="72"/>
      <c r="Q102" s="52"/>
      <c r="T102" s="59"/>
    </row>
    <row r="103" spans="1:20" s="56" customFormat="1" ht="12" x14ac:dyDescent="0.2">
      <c r="A103" s="73" t="s">
        <v>185</v>
      </c>
      <c r="B103" s="73" t="s">
        <v>186</v>
      </c>
      <c r="C103" s="74" t="s">
        <v>187</v>
      </c>
      <c r="D103" s="73" t="s">
        <v>14</v>
      </c>
      <c r="E103" s="75">
        <v>13.8</v>
      </c>
      <c r="F103" s="75">
        <f>ROUND(T103*$T$10,2)</f>
        <v>319.5</v>
      </c>
      <c r="G103" s="75">
        <f>ROUND(F103*(1+$U$1),2)</f>
        <v>407.65</v>
      </c>
      <c r="H103" s="76">
        <f>ROUND(E103*G103,2)</f>
        <v>5625.57</v>
      </c>
      <c r="I103" s="134"/>
      <c r="J103" s="75">
        <v>13.8</v>
      </c>
      <c r="K103" s="75">
        <f t="shared" si="15"/>
        <v>0</v>
      </c>
      <c r="L103" s="76">
        <f>ROUND(E103*F103,2)</f>
        <v>4409.1000000000004</v>
      </c>
      <c r="M103" s="76">
        <f>I103*G103</f>
        <v>0</v>
      </c>
      <c r="N103" s="76">
        <f>J103*G103</f>
        <v>5625.57</v>
      </c>
      <c r="O103" s="76">
        <f>H103-N103</f>
        <v>0</v>
      </c>
      <c r="P103" s="90">
        <f t="shared" si="21"/>
        <v>1</v>
      </c>
      <c r="Q103" s="51"/>
      <c r="T103" s="53">
        <v>319.5</v>
      </c>
    </row>
    <row r="104" spans="1:20" s="56" customFormat="1" ht="12" x14ac:dyDescent="0.2">
      <c r="A104" s="94">
        <v>85005</v>
      </c>
      <c r="B104" s="73" t="s">
        <v>188</v>
      </c>
      <c r="C104" s="74" t="s">
        <v>189</v>
      </c>
      <c r="D104" s="73" t="s">
        <v>14</v>
      </c>
      <c r="E104" s="75">
        <v>7</v>
      </c>
      <c r="F104" s="75">
        <f>ROUND(T104*$T$10,2)</f>
        <v>347.14</v>
      </c>
      <c r="G104" s="75">
        <f>ROUND(F104*(1+$U$1),2)</f>
        <v>442.92</v>
      </c>
      <c r="H104" s="76">
        <f>ROUND(E104*G104,2)</f>
        <v>3100.44</v>
      </c>
      <c r="I104" s="75"/>
      <c r="J104" s="75">
        <v>7</v>
      </c>
      <c r="K104" s="75">
        <f t="shared" si="15"/>
        <v>0</v>
      </c>
      <c r="L104" s="76">
        <f>ROUND(E104*F104,2)</f>
        <v>2429.98</v>
      </c>
      <c r="M104" s="76">
        <f>I104*G104</f>
        <v>0</v>
      </c>
      <c r="N104" s="76">
        <f>J104*G104</f>
        <v>3100.44</v>
      </c>
      <c r="O104" s="76">
        <f>H104-N104</f>
        <v>0</v>
      </c>
      <c r="P104" s="90">
        <f t="shared" si="21"/>
        <v>1</v>
      </c>
      <c r="Q104" s="51"/>
      <c r="T104" s="53">
        <v>347.14</v>
      </c>
    </row>
    <row r="105" spans="1:20" s="56" customFormat="1" ht="12" x14ac:dyDescent="0.2">
      <c r="A105" s="72"/>
      <c r="B105" s="71"/>
      <c r="C105" s="71"/>
      <c r="D105" s="71"/>
      <c r="E105" s="71"/>
      <c r="F105" s="75"/>
      <c r="G105" s="77" t="s">
        <v>190</v>
      </c>
      <c r="H105" s="78">
        <f>SUM(H103:H104)</f>
        <v>8726.01</v>
      </c>
      <c r="I105" s="71"/>
      <c r="J105" s="75">
        <v>0</v>
      </c>
      <c r="K105" s="75">
        <f t="shared" si="15"/>
        <v>0</v>
      </c>
      <c r="L105" s="78">
        <f>SUM(L103:L104)</f>
        <v>6839.08</v>
      </c>
      <c r="M105" s="78">
        <f>SUM(M103:M104)</f>
        <v>0</v>
      </c>
      <c r="N105" s="78">
        <f>SUM(N103:N104)</f>
        <v>8726.01</v>
      </c>
      <c r="O105" s="78">
        <f>SUM(O102:O104)</f>
        <v>0</v>
      </c>
      <c r="P105" s="91">
        <f t="shared" si="21"/>
        <v>1</v>
      </c>
      <c r="Q105" s="60"/>
      <c r="T105" s="59"/>
    </row>
    <row r="106" spans="1:20" s="56" customFormat="1" ht="12" x14ac:dyDescent="0.2">
      <c r="A106" s="72"/>
      <c r="B106" s="70" t="s">
        <v>191</v>
      </c>
      <c r="C106" s="71" t="s">
        <v>192</v>
      </c>
      <c r="D106" s="71"/>
      <c r="E106" s="71"/>
      <c r="F106" s="75"/>
      <c r="G106" s="71"/>
      <c r="H106" s="72"/>
      <c r="I106" s="71"/>
      <c r="J106" s="75">
        <v>0</v>
      </c>
      <c r="K106" s="75">
        <f t="shared" si="15"/>
        <v>0</v>
      </c>
      <c r="L106" s="71"/>
      <c r="M106" s="72"/>
      <c r="N106" s="72"/>
      <c r="O106" s="72"/>
      <c r="P106" s="72"/>
      <c r="Q106" s="52"/>
      <c r="T106" s="59"/>
    </row>
    <row r="107" spans="1:20" s="56" customFormat="1" ht="12" x14ac:dyDescent="0.2">
      <c r="A107" s="94">
        <v>92539</v>
      </c>
      <c r="B107" s="73" t="s">
        <v>193</v>
      </c>
      <c r="C107" s="74" t="s">
        <v>194</v>
      </c>
      <c r="D107" s="73" t="s">
        <v>14</v>
      </c>
      <c r="E107" s="76">
        <v>1271.78</v>
      </c>
      <c r="F107" s="75">
        <f t="shared" ref="F107:F112" si="29">ROUND(T107*$T$10,2)</f>
        <v>52.1</v>
      </c>
      <c r="G107" s="75">
        <f t="shared" ref="G107:G112" si="30">ROUND(F107*(1+$U$1),2)</f>
        <v>66.47</v>
      </c>
      <c r="H107" s="76">
        <f t="shared" ref="H107:H112" si="31">ROUND(E107*G107,2)</f>
        <v>84535.22</v>
      </c>
      <c r="I107" s="76"/>
      <c r="J107" s="75">
        <v>1271.78</v>
      </c>
      <c r="K107" s="75">
        <f t="shared" si="15"/>
        <v>0</v>
      </c>
      <c r="L107" s="76">
        <f t="shared" ref="L107:L112" si="32">ROUND(E107*F107,2)</f>
        <v>66259.740000000005</v>
      </c>
      <c r="M107" s="76">
        <f t="shared" ref="M107:M112" si="33">I107*G107</f>
        <v>0</v>
      </c>
      <c r="N107" s="76">
        <f t="shared" ref="N107:N112" si="34">J107*G107</f>
        <v>84535.2166</v>
      </c>
      <c r="O107" s="76">
        <f t="shared" ref="O107:O112" si="35">H107-N107</f>
        <v>3.4000000014202669E-3</v>
      </c>
      <c r="P107" s="90">
        <f t="shared" ref="P107:P118" si="36">N107/H107</f>
        <v>0.9999999597800775</v>
      </c>
      <c r="Q107" s="51"/>
      <c r="T107" s="53">
        <v>52.1</v>
      </c>
    </row>
    <row r="108" spans="1:20" s="56" customFormat="1" ht="12" x14ac:dyDescent="0.2">
      <c r="A108" s="94">
        <v>94195</v>
      </c>
      <c r="B108" s="73" t="s">
        <v>195</v>
      </c>
      <c r="C108" s="74" t="s">
        <v>196</v>
      </c>
      <c r="D108" s="73" t="s">
        <v>14</v>
      </c>
      <c r="E108" s="76">
        <v>1264.78</v>
      </c>
      <c r="F108" s="75">
        <f t="shared" si="29"/>
        <v>15.24</v>
      </c>
      <c r="G108" s="75">
        <f t="shared" si="30"/>
        <v>19.440000000000001</v>
      </c>
      <c r="H108" s="76">
        <f t="shared" si="31"/>
        <v>24587.32</v>
      </c>
      <c r="I108" s="76"/>
      <c r="J108" s="75">
        <v>1264.78</v>
      </c>
      <c r="K108" s="75">
        <f t="shared" si="15"/>
        <v>0</v>
      </c>
      <c r="L108" s="76">
        <f t="shared" si="32"/>
        <v>19275.25</v>
      </c>
      <c r="M108" s="76">
        <f t="shared" si="33"/>
        <v>0</v>
      </c>
      <c r="N108" s="76">
        <f t="shared" si="34"/>
        <v>24587.323200000003</v>
      </c>
      <c r="O108" s="76">
        <f t="shared" si="35"/>
        <v>-3.2000000028347131E-3</v>
      </c>
      <c r="P108" s="90">
        <f t="shared" si="36"/>
        <v>1.0000001301483856</v>
      </c>
      <c r="Q108" s="51"/>
      <c r="T108" s="53">
        <v>15.24</v>
      </c>
    </row>
    <row r="109" spans="1:20" s="56" customFormat="1" ht="12" x14ac:dyDescent="0.2">
      <c r="A109" s="94">
        <v>94444</v>
      </c>
      <c r="B109" s="73" t="s">
        <v>197</v>
      </c>
      <c r="C109" s="74" t="s">
        <v>198</v>
      </c>
      <c r="D109" s="73" t="s">
        <v>14</v>
      </c>
      <c r="E109" s="75">
        <v>7</v>
      </c>
      <c r="F109" s="75">
        <f t="shared" si="29"/>
        <v>584.54999999999995</v>
      </c>
      <c r="G109" s="75">
        <f t="shared" si="30"/>
        <v>745.83</v>
      </c>
      <c r="H109" s="76">
        <f t="shared" si="31"/>
        <v>5220.8100000000004</v>
      </c>
      <c r="I109" s="75"/>
      <c r="J109" s="75">
        <v>7</v>
      </c>
      <c r="K109" s="75">
        <f t="shared" si="15"/>
        <v>0</v>
      </c>
      <c r="L109" s="76">
        <f t="shared" si="32"/>
        <v>4091.85</v>
      </c>
      <c r="M109" s="76">
        <f t="shared" si="33"/>
        <v>0</v>
      </c>
      <c r="N109" s="76">
        <f t="shared" si="34"/>
        <v>5220.8100000000004</v>
      </c>
      <c r="O109" s="76">
        <f t="shared" si="35"/>
        <v>0</v>
      </c>
      <c r="P109" s="90">
        <f t="shared" si="36"/>
        <v>1</v>
      </c>
      <c r="Q109" s="51"/>
      <c r="T109" s="53">
        <v>584.54999999999995</v>
      </c>
    </row>
    <row r="110" spans="1:20" s="56" customFormat="1" ht="12" x14ac:dyDescent="0.2">
      <c r="A110" s="94">
        <v>94219</v>
      </c>
      <c r="B110" s="73" t="s">
        <v>199</v>
      </c>
      <c r="C110" s="74" t="s">
        <v>200</v>
      </c>
      <c r="D110" s="73" t="s">
        <v>81</v>
      </c>
      <c r="E110" s="75">
        <v>154.99</v>
      </c>
      <c r="F110" s="75">
        <f t="shared" si="29"/>
        <v>18.86</v>
      </c>
      <c r="G110" s="75">
        <f t="shared" si="30"/>
        <v>24.06</v>
      </c>
      <c r="H110" s="76">
        <f t="shared" si="31"/>
        <v>3729.06</v>
      </c>
      <c r="I110" s="75"/>
      <c r="J110" s="75">
        <v>154.98999999999998</v>
      </c>
      <c r="K110" s="75">
        <f t="shared" si="15"/>
        <v>0</v>
      </c>
      <c r="L110" s="76">
        <f t="shared" si="32"/>
        <v>2923.11</v>
      </c>
      <c r="M110" s="76">
        <f t="shared" si="33"/>
        <v>0</v>
      </c>
      <c r="N110" s="76">
        <f t="shared" si="34"/>
        <v>3729.0593999999992</v>
      </c>
      <c r="O110" s="76">
        <f t="shared" si="35"/>
        <v>6.0000000075888238E-4</v>
      </c>
      <c r="P110" s="90">
        <f t="shared" si="36"/>
        <v>0.99999983910154278</v>
      </c>
      <c r="Q110" s="51"/>
      <c r="T110" s="53">
        <v>18.86</v>
      </c>
    </row>
    <row r="111" spans="1:20" s="56" customFormat="1" ht="12" x14ac:dyDescent="0.2">
      <c r="A111" s="94">
        <v>94228</v>
      </c>
      <c r="B111" s="73" t="s">
        <v>201</v>
      </c>
      <c r="C111" s="74" t="s">
        <v>202</v>
      </c>
      <c r="D111" s="73" t="s">
        <v>81</v>
      </c>
      <c r="E111" s="75">
        <v>2.5</v>
      </c>
      <c r="F111" s="75">
        <f t="shared" si="29"/>
        <v>42.78</v>
      </c>
      <c r="G111" s="75">
        <f t="shared" si="30"/>
        <v>54.58</v>
      </c>
      <c r="H111" s="76">
        <f t="shared" si="31"/>
        <v>136.44999999999999</v>
      </c>
      <c r="I111" s="75"/>
      <c r="J111" s="75">
        <v>2.5</v>
      </c>
      <c r="K111" s="75">
        <f t="shared" si="15"/>
        <v>0</v>
      </c>
      <c r="L111" s="76">
        <f t="shared" si="32"/>
        <v>106.95</v>
      </c>
      <c r="M111" s="76">
        <f t="shared" si="33"/>
        <v>0</v>
      </c>
      <c r="N111" s="76">
        <f t="shared" si="34"/>
        <v>136.44999999999999</v>
      </c>
      <c r="O111" s="76">
        <f t="shared" si="35"/>
        <v>0</v>
      </c>
      <c r="P111" s="90">
        <f t="shared" si="36"/>
        <v>1</v>
      </c>
      <c r="Q111" s="51"/>
      <c r="T111" s="53">
        <v>42.78</v>
      </c>
    </row>
    <row r="112" spans="1:20" s="56" customFormat="1" ht="12" x14ac:dyDescent="0.2">
      <c r="A112" s="73" t="s">
        <v>203</v>
      </c>
      <c r="B112" s="73" t="s">
        <v>204</v>
      </c>
      <c r="C112" s="74" t="s">
        <v>205</v>
      </c>
      <c r="D112" s="73" t="s">
        <v>81</v>
      </c>
      <c r="E112" s="75">
        <v>107</v>
      </c>
      <c r="F112" s="75">
        <f t="shared" si="29"/>
        <v>20.81</v>
      </c>
      <c r="G112" s="75">
        <f t="shared" si="30"/>
        <v>26.55</v>
      </c>
      <c r="H112" s="76">
        <f t="shared" si="31"/>
        <v>2840.85</v>
      </c>
      <c r="I112" s="75"/>
      <c r="J112" s="75">
        <v>107</v>
      </c>
      <c r="K112" s="75">
        <f t="shared" si="15"/>
        <v>0</v>
      </c>
      <c r="L112" s="76">
        <f t="shared" si="32"/>
        <v>2226.67</v>
      </c>
      <c r="M112" s="76">
        <f t="shared" si="33"/>
        <v>0</v>
      </c>
      <c r="N112" s="76">
        <f t="shared" si="34"/>
        <v>2840.85</v>
      </c>
      <c r="O112" s="76">
        <f t="shared" si="35"/>
        <v>0</v>
      </c>
      <c r="P112" s="90">
        <f t="shared" si="36"/>
        <v>1</v>
      </c>
      <c r="Q112" s="51"/>
      <c r="T112" s="53">
        <v>20.81</v>
      </c>
    </row>
    <row r="113" spans="1:20" s="56" customFormat="1" ht="12" x14ac:dyDescent="0.2">
      <c r="A113" s="72"/>
      <c r="B113" s="71"/>
      <c r="C113" s="71"/>
      <c r="D113" s="71"/>
      <c r="E113" s="71"/>
      <c r="F113" s="75"/>
      <c r="G113" s="77" t="s">
        <v>206</v>
      </c>
      <c r="H113" s="78">
        <f>SUM(H107:H112)</f>
        <v>121049.71</v>
      </c>
      <c r="I113" s="71"/>
      <c r="J113" s="75"/>
      <c r="K113" s="75"/>
      <c r="L113" s="78">
        <f>SUM(L107:L112)</f>
        <v>94883.57</v>
      </c>
      <c r="M113" s="78">
        <f>SUM(M107:M112)</f>
        <v>0</v>
      </c>
      <c r="N113" s="78">
        <f>SUM(N107:N112)</f>
        <v>121049.7092</v>
      </c>
      <c r="O113" s="78">
        <f>SUM(O107:O112)</f>
        <v>7.9999999934443622E-4</v>
      </c>
      <c r="P113" s="91">
        <f t="shared" si="36"/>
        <v>0.99999999339114476</v>
      </c>
      <c r="Q113" s="60"/>
      <c r="R113" s="58"/>
      <c r="T113" s="59"/>
    </row>
    <row r="114" spans="1:20" s="56" customFormat="1" ht="12" x14ac:dyDescent="0.2">
      <c r="A114" s="72"/>
      <c r="B114" s="70" t="s">
        <v>207</v>
      </c>
      <c r="C114" s="71" t="s">
        <v>208</v>
      </c>
      <c r="D114" s="71"/>
      <c r="E114" s="71"/>
      <c r="F114" s="75"/>
      <c r="G114" s="71"/>
      <c r="H114" s="72"/>
      <c r="I114" s="71"/>
      <c r="J114" s="75"/>
      <c r="K114" s="75"/>
      <c r="L114" s="71"/>
      <c r="M114" s="72"/>
      <c r="N114" s="72"/>
      <c r="O114" s="72"/>
      <c r="P114" s="72"/>
      <c r="Q114" s="52"/>
      <c r="T114" s="59"/>
    </row>
    <row r="115" spans="1:20" s="56" customFormat="1" ht="12" x14ac:dyDescent="0.2">
      <c r="A115" s="73" t="s">
        <v>212</v>
      </c>
      <c r="B115" s="73" t="s">
        <v>210</v>
      </c>
      <c r="C115" s="74" t="s">
        <v>214</v>
      </c>
      <c r="D115" s="73" t="s">
        <v>14</v>
      </c>
      <c r="E115" s="75">
        <v>77</v>
      </c>
      <c r="F115" s="75">
        <f>ROUND(T115*$T$10,2)</f>
        <v>29.51</v>
      </c>
      <c r="G115" s="75">
        <f>ROUND(F115*(1+$U$1),2)</f>
        <v>37.65</v>
      </c>
      <c r="H115" s="76">
        <f>ROUND(E115*G115,2)</f>
        <v>2899.05</v>
      </c>
      <c r="I115" s="75"/>
      <c r="J115" s="75">
        <v>77</v>
      </c>
      <c r="K115" s="75">
        <f t="shared" si="15"/>
        <v>0</v>
      </c>
      <c r="L115" s="76">
        <f>ROUND(E115*F115,2)</f>
        <v>2272.27</v>
      </c>
      <c r="M115" s="76">
        <f>I115*G115</f>
        <v>0</v>
      </c>
      <c r="N115" s="76">
        <f>J115*G115</f>
        <v>2899.0499999999997</v>
      </c>
      <c r="O115" s="76">
        <f>H115-N115</f>
        <v>0</v>
      </c>
      <c r="P115" s="90">
        <f t="shared" si="36"/>
        <v>0.99999999999999989</v>
      </c>
      <c r="Q115" s="51"/>
      <c r="T115" s="53">
        <v>29.51</v>
      </c>
    </row>
    <row r="116" spans="1:20" s="56" customFormat="1" ht="12" x14ac:dyDescent="0.2">
      <c r="A116" s="73" t="s">
        <v>215</v>
      </c>
      <c r="B116" s="73" t="s">
        <v>213</v>
      </c>
      <c r="C116" s="74" t="s">
        <v>217</v>
      </c>
      <c r="D116" s="73" t="s">
        <v>14</v>
      </c>
      <c r="E116" s="75">
        <v>105</v>
      </c>
      <c r="F116" s="75">
        <f>ROUND(T116*$T$10,2)</f>
        <v>14.07</v>
      </c>
      <c r="G116" s="75">
        <f>ROUND(F116*(1+$U$1),2)</f>
        <v>17.95</v>
      </c>
      <c r="H116" s="76">
        <f>ROUND(E116*G116,2)</f>
        <v>1884.75</v>
      </c>
      <c r="I116" s="75"/>
      <c r="J116" s="75">
        <v>105</v>
      </c>
      <c r="K116" s="75">
        <f t="shared" si="15"/>
        <v>0</v>
      </c>
      <c r="L116" s="76">
        <f>ROUND(E116*F116,2)</f>
        <v>1477.35</v>
      </c>
      <c r="M116" s="76">
        <f>I116*G116</f>
        <v>0</v>
      </c>
      <c r="N116" s="76">
        <f>J116*G116</f>
        <v>1884.75</v>
      </c>
      <c r="O116" s="76">
        <f>H116-N116</f>
        <v>0</v>
      </c>
      <c r="P116" s="90">
        <f t="shared" si="36"/>
        <v>1</v>
      </c>
      <c r="Q116" s="51"/>
      <c r="T116" s="53">
        <v>14.07</v>
      </c>
    </row>
    <row r="117" spans="1:20" s="56" customFormat="1" ht="12" x14ac:dyDescent="0.2">
      <c r="A117" s="73" t="s">
        <v>215</v>
      </c>
      <c r="B117" s="73" t="s">
        <v>216</v>
      </c>
      <c r="C117" s="74" t="s">
        <v>219</v>
      </c>
      <c r="D117" s="73" t="s">
        <v>14</v>
      </c>
      <c r="E117" s="75">
        <v>221.45</v>
      </c>
      <c r="F117" s="75">
        <f>ROUND(T117*$T$10,2)</f>
        <v>14.07</v>
      </c>
      <c r="G117" s="75">
        <f>ROUND(F117*(1+$U$1),2)</f>
        <v>17.95</v>
      </c>
      <c r="H117" s="76">
        <f>ROUND(E117*G117,2)</f>
        <v>3975.03</v>
      </c>
      <c r="I117" s="75"/>
      <c r="J117" s="75">
        <v>221.45</v>
      </c>
      <c r="K117" s="75">
        <f t="shared" si="15"/>
        <v>0</v>
      </c>
      <c r="L117" s="76">
        <f>ROUND(E117*F117,2)</f>
        <v>3115.8</v>
      </c>
      <c r="M117" s="76">
        <f>I117*G117</f>
        <v>0</v>
      </c>
      <c r="N117" s="76">
        <f>J117*G117</f>
        <v>3975.0274999999997</v>
      </c>
      <c r="O117" s="76">
        <f>H117-N117</f>
        <v>2.500000000509317E-3</v>
      </c>
      <c r="P117" s="90">
        <f t="shared" si="36"/>
        <v>0.99999937107392889</v>
      </c>
      <c r="Q117" s="51"/>
      <c r="T117" s="53">
        <v>14.07</v>
      </c>
    </row>
    <row r="118" spans="1:20" s="56" customFormat="1" ht="12" x14ac:dyDescent="0.2">
      <c r="A118" s="72"/>
      <c r="B118" s="71"/>
      <c r="C118" s="71"/>
      <c r="D118" s="71"/>
      <c r="E118" s="71"/>
      <c r="F118" s="75"/>
      <c r="G118" s="77" t="s">
        <v>220</v>
      </c>
      <c r="H118" s="78">
        <f>SUM(H115:H117)</f>
        <v>8758.83</v>
      </c>
      <c r="I118" s="71"/>
      <c r="J118" s="75">
        <v>0</v>
      </c>
      <c r="K118" s="75">
        <f t="shared" si="15"/>
        <v>0</v>
      </c>
      <c r="L118" s="78">
        <f>SUM(L115:L117)</f>
        <v>6865.42</v>
      </c>
      <c r="M118" s="78">
        <f>SUM(M115:M117)</f>
        <v>0</v>
      </c>
      <c r="N118" s="78">
        <f>SUM(N115:N117)</f>
        <v>8758.8274999999994</v>
      </c>
      <c r="O118" s="78">
        <f>SUM(O115:O117)</f>
        <v>2.500000000509317E-3</v>
      </c>
      <c r="P118" s="91">
        <f t="shared" si="36"/>
        <v>0.99999971457375014</v>
      </c>
      <c r="Q118" s="60">
        <f>H118-N118</f>
        <v>2.500000000509317E-3</v>
      </c>
      <c r="R118" s="58"/>
      <c r="T118" s="59"/>
    </row>
    <row r="119" spans="1:20" s="56" customFormat="1" ht="12" x14ac:dyDescent="0.2">
      <c r="A119" s="72"/>
      <c r="B119" s="70" t="s">
        <v>221</v>
      </c>
      <c r="C119" s="71" t="s">
        <v>222</v>
      </c>
      <c r="D119" s="71"/>
      <c r="E119" s="71"/>
      <c r="F119" s="75"/>
      <c r="G119" s="71"/>
      <c r="H119" s="72"/>
      <c r="I119" s="71"/>
      <c r="J119" s="75"/>
      <c r="K119" s="75"/>
      <c r="L119" s="71"/>
      <c r="M119" s="72"/>
      <c r="N119" s="72"/>
      <c r="O119" s="72"/>
      <c r="P119" s="72"/>
      <c r="Q119" s="52"/>
      <c r="T119" s="59"/>
    </row>
    <row r="120" spans="1:20" s="56" customFormat="1" ht="12" x14ac:dyDescent="0.2">
      <c r="A120" s="72"/>
      <c r="B120" s="70" t="s">
        <v>223</v>
      </c>
      <c r="C120" s="71" t="s">
        <v>224</v>
      </c>
      <c r="D120" s="71"/>
      <c r="E120" s="71"/>
      <c r="F120" s="75"/>
      <c r="G120" s="71"/>
      <c r="H120" s="72"/>
      <c r="I120" s="71"/>
      <c r="J120" s="75"/>
      <c r="K120" s="75"/>
      <c r="L120" s="71"/>
      <c r="M120" s="72"/>
      <c r="N120" s="72"/>
      <c r="O120" s="72"/>
      <c r="P120" s="72"/>
      <c r="Q120" s="52"/>
      <c r="T120" s="59"/>
    </row>
    <row r="121" spans="1:20" s="56" customFormat="1" ht="12" x14ac:dyDescent="0.2">
      <c r="A121" s="72"/>
      <c r="B121" s="70" t="s">
        <v>225</v>
      </c>
      <c r="C121" s="71" t="s">
        <v>226</v>
      </c>
      <c r="D121" s="72"/>
      <c r="E121" s="72"/>
      <c r="F121" s="75"/>
      <c r="G121" s="72"/>
      <c r="H121" s="72"/>
      <c r="I121" s="72"/>
      <c r="J121" s="75"/>
      <c r="K121" s="75"/>
      <c r="L121" s="72"/>
      <c r="M121" s="72"/>
      <c r="N121" s="72"/>
      <c r="O121" s="72"/>
      <c r="P121" s="72"/>
      <c r="Q121" s="52"/>
      <c r="T121" s="52"/>
    </row>
    <row r="122" spans="1:20" s="56" customFormat="1" ht="12" x14ac:dyDescent="0.2">
      <c r="A122" s="94">
        <v>87775</v>
      </c>
      <c r="B122" s="73" t="s">
        <v>227</v>
      </c>
      <c r="C122" s="74" t="s">
        <v>228</v>
      </c>
      <c r="D122" s="73" t="s">
        <v>14</v>
      </c>
      <c r="E122" s="75">
        <v>239.8</v>
      </c>
      <c r="F122" s="75">
        <f>ROUND(T122*$T$10,2)</f>
        <v>37.78</v>
      </c>
      <c r="G122" s="75">
        <f>ROUND(F122*(1+$U$1),2)</f>
        <v>48.2</v>
      </c>
      <c r="H122" s="76">
        <f>ROUND(E122*G122,2)</f>
        <v>11558.36</v>
      </c>
      <c r="I122" s="75"/>
      <c r="J122" s="75">
        <v>239.8</v>
      </c>
      <c r="K122" s="75">
        <f t="shared" si="15"/>
        <v>0</v>
      </c>
      <c r="L122" s="76">
        <f>ROUND(E122*F122,2)</f>
        <v>9059.64</v>
      </c>
      <c r="M122" s="76">
        <f>I122*G122</f>
        <v>0</v>
      </c>
      <c r="N122" s="76">
        <f>J122*G122</f>
        <v>11558.36</v>
      </c>
      <c r="O122" s="76">
        <f>H122-N122</f>
        <v>0</v>
      </c>
      <c r="P122" s="90">
        <f>N122/H122</f>
        <v>1</v>
      </c>
      <c r="Q122" s="51"/>
      <c r="T122" s="53">
        <v>37.78</v>
      </c>
    </row>
    <row r="123" spans="1:20" s="56" customFormat="1" ht="12" x14ac:dyDescent="0.2">
      <c r="A123" s="73" t="s">
        <v>229</v>
      </c>
      <c r="B123" s="73" t="s">
        <v>230</v>
      </c>
      <c r="C123" s="74" t="s">
        <v>231</v>
      </c>
      <c r="D123" s="73" t="s">
        <v>14</v>
      </c>
      <c r="E123" s="75">
        <v>242.72</v>
      </c>
      <c r="F123" s="75">
        <f>ROUND(T123*$T$10,2)</f>
        <v>21.63</v>
      </c>
      <c r="G123" s="75">
        <f>ROUND(F123*(1+$U$1),2)</f>
        <v>27.6</v>
      </c>
      <c r="H123" s="76">
        <f>ROUND(E123*G123,2)</f>
        <v>6699.07</v>
      </c>
      <c r="I123" s="75"/>
      <c r="J123" s="75">
        <v>242.72</v>
      </c>
      <c r="K123" s="75">
        <f t="shared" si="15"/>
        <v>0</v>
      </c>
      <c r="L123" s="76">
        <f>ROUND(E123*F123,2)</f>
        <v>5250.03</v>
      </c>
      <c r="M123" s="76">
        <f>I123*G123</f>
        <v>0</v>
      </c>
      <c r="N123" s="76">
        <f>J123*G123</f>
        <v>6699.0720000000001</v>
      </c>
      <c r="O123" s="76">
        <f>H123-N123</f>
        <v>-2.0000000004074536E-3</v>
      </c>
      <c r="P123" s="90">
        <f>N123/H123</f>
        <v>1.0000002985489032</v>
      </c>
      <c r="Q123" s="51"/>
      <c r="T123" s="53">
        <v>21.63</v>
      </c>
    </row>
    <row r="124" spans="1:20" s="56" customFormat="1" ht="12" x14ac:dyDescent="0.2">
      <c r="A124" s="94">
        <v>87265</v>
      </c>
      <c r="B124" s="73" t="s">
        <v>232</v>
      </c>
      <c r="C124" s="74" t="s">
        <v>233</v>
      </c>
      <c r="D124" s="73" t="s">
        <v>14</v>
      </c>
      <c r="E124" s="75">
        <v>959.21</v>
      </c>
      <c r="F124" s="75">
        <f>ROUND(T124*$T$10,2)</f>
        <v>31.09</v>
      </c>
      <c r="G124" s="75">
        <f>ROUND(F124*(1+$U$1),2)</f>
        <v>39.67</v>
      </c>
      <c r="H124" s="76">
        <f>ROUND(E124*G124,2)</f>
        <v>38051.86</v>
      </c>
      <c r="I124" s="75"/>
      <c r="J124" s="75">
        <v>959.21</v>
      </c>
      <c r="K124" s="75">
        <f t="shared" si="15"/>
        <v>0</v>
      </c>
      <c r="L124" s="76">
        <f>ROUND(E124*F124,2)</f>
        <v>29821.84</v>
      </c>
      <c r="M124" s="76">
        <f>I124*G124</f>
        <v>0</v>
      </c>
      <c r="N124" s="76">
        <f>J124*G124</f>
        <v>38051.860700000005</v>
      </c>
      <c r="O124" s="76">
        <f>H124-N124</f>
        <v>-7.0000000414438546E-4</v>
      </c>
      <c r="P124" s="90">
        <f>N124/H124</f>
        <v>1.0000000183959472</v>
      </c>
      <c r="Q124" s="51"/>
      <c r="T124" s="53">
        <v>31.09</v>
      </c>
    </row>
    <row r="125" spans="1:20" s="56" customFormat="1" ht="12" x14ac:dyDescent="0.2">
      <c r="A125" s="72"/>
      <c r="B125" s="70" t="s">
        <v>234</v>
      </c>
      <c r="C125" s="71" t="s">
        <v>235</v>
      </c>
      <c r="D125" s="72"/>
      <c r="E125" s="72"/>
      <c r="F125" s="75"/>
      <c r="G125" s="72"/>
      <c r="H125" s="72"/>
      <c r="I125" s="72"/>
      <c r="J125" s="75"/>
      <c r="K125" s="75"/>
      <c r="L125" s="72"/>
      <c r="M125" s="76"/>
      <c r="N125" s="76"/>
      <c r="O125" s="76"/>
      <c r="P125" s="90"/>
      <c r="Q125" s="52"/>
      <c r="T125" s="52"/>
    </row>
    <row r="126" spans="1:20" s="56" customFormat="1" ht="12" x14ac:dyDescent="0.2">
      <c r="A126" s="73" t="s">
        <v>236</v>
      </c>
      <c r="B126" s="73" t="s">
        <v>237</v>
      </c>
      <c r="C126" s="74" t="s">
        <v>231</v>
      </c>
      <c r="D126" s="73" t="s">
        <v>14</v>
      </c>
      <c r="E126" s="75">
        <v>724.74</v>
      </c>
      <c r="F126" s="75">
        <f>ROUND(T126*$T$10,2)</f>
        <v>22.03</v>
      </c>
      <c r="G126" s="75">
        <f>ROUND(F126*(1+$U$1),2)</f>
        <v>28.11</v>
      </c>
      <c r="H126" s="76">
        <f>ROUND(E126*G126,2)</f>
        <v>20372.439999999999</v>
      </c>
      <c r="I126" s="75"/>
      <c r="J126" s="75">
        <v>724.74</v>
      </c>
      <c r="K126" s="75">
        <f t="shared" si="15"/>
        <v>0</v>
      </c>
      <c r="L126" s="76">
        <f>ROUND(E126*F126,2)</f>
        <v>15966.02</v>
      </c>
      <c r="M126" s="76">
        <f>I126*G126</f>
        <v>0</v>
      </c>
      <c r="N126" s="76">
        <f>J126*G126</f>
        <v>20372.4414</v>
      </c>
      <c r="O126" s="76">
        <f>H126-N126</f>
        <v>-1.4000000010128133E-3</v>
      </c>
      <c r="P126" s="90">
        <f>N126/H126</f>
        <v>1.0000000687202908</v>
      </c>
      <c r="Q126" s="51"/>
      <c r="T126" s="53">
        <v>22.03</v>
      </c>
    </row>
    <row r="127" spans="1:20" s="56" customFormat="1" ht="12" x14ac:dyDescent="0.2">
      <c r="A127" s="72"/>
      <c r="B127" s="71"/>
      <c r="C127" s="71"/>
      <c r="D127" s="71"/>
      <c r="E127" s="71"/>
      <c r="F127" s="75"/>
      <c r="G127" s="77" t="s">
        <v>238</v>
      </c>
      <c r="H127" s="78">
        <f>SUM(H122:H126)</f>
        <v>76681.73</v>
      </c>
      <c r="I127" s="71"/>
      <c r="J127" s="75">
        <v>0</v>
      </c>
      <c r="K127" s="75">
        <f t="shared" si="15"/>
        <v>0</v>
      </c>
      <c r="L127" s="78">
        <f>SUM(L122:L126)</f>
        <v>60097.53</v>
      </c>
      <c r="M127" s="78">
        <f>SUM(M122:M126)</f>
        <v>0</v>
      </c>
      <c r="N127" s="78">
        <f>SUM(N122:N126)</f>
        <v>76681.734100000001</v>
      </c>
      <c r="O127" s="78">
        <f>SUM(O122:O126)</f>
        <v>-4.1000000055646524E-3</v>
      </c>
      <c r="P127" s="91">
        <f>N127/H127</f>
        <v>1.0000000534677558</v>
      </c>
      <c r="Q127" s="60"/>
      <c r="T127" s="59"/>
    </row>
    <row r="128" spans="1:20" s="56" customFormat="1" ht="12" x14ac:dyDescent="0.2">
      <c r="A128" s="72"/>
      <c r="B128" s="70" t="s">
        <v>239</v>
      </c>
      <c r="C128" s="71" t="s">
        <v>240</v>
      </c>
      <c r="D128" s="71"/>
      <c r="E128" s="71"/>
      <c r="F128" s="75"/>
      <c r="G128" s="71"/>
      <c r="H128" s="72"/>
      <c r="I128" s="71"/>
      <c r="J128" s="75"/>
      <c r="K128" s="75">
        <f t="shared" ref="K128:K187" si="37">E128-J128</f>
        <v>0</v>
      </c>
      <c r="L128" s="71"/>
      <c r="M128" s="72"/>
      <c r="N128" s="72"/>
      <c r="O128" s="72"/>
      <c r="P128" s="72"/>
      <c r="Q128" s="52"/>
      <c r="T128" s="59"/>
    </row>
    <row r="129" spans="1:20" s="56" customFormat="1" ht="12" x14ac:dyDescent="0.2">
      <c r="A129" s="72"/>
      <c r="B129" s="70" t="s">
        <v>241</v>
      </c>
      <c r="C129" s="71" t="s">
        <v>242</v>
      </c>
      <c r="D129" s="72"/>
      <c r="E129" s="72"/>
      <c r="F129" s="75"/>
      <c r="G129" s="72"/>
      <c r="H129" s="72"/>
      <c r="I129" s="72"/>
      <c r="J129" s="75"/>
      <c r="K129" s="75">
        <f t="shared" si="37"/>
        <v>0</v>
      </c>
      <c r="L129" s="72"/>
      <c r="M129" s="72"/>
      <c r="N129" s="72"/>
      <c r="O129" s="72"/>
      <c r="P129" s="72"/>
      <c r="Q129" s="52"/>
      <c r="T129" s="52"/>
    </row>
    <row r="130" spans="1:20" s="56" customFormat="1" ht="12" x14ac:dyDescent="0.2">
      <c r="A130" s="94">
        <v>87905</v>
      </c>
      <c r="B130" s="73" t="s">
        <v>243</v>
      </c>
      <c r="C130" s="74" t="s">
        <v>244</v>
      </c>
      <c r="D130" s="73" t="s">
        <v>14</v>
      </c>
      <c r="E130" s="75">
        <v>414.73</v>
      </c>
      <c r="F130" s="75">
        <f>ROUND(T130*$T$10,2)</f>
        <v>5.81</v>
      </c>
      <c r="G130" s="75">
        <f>ROUND(F130*(1+$U$1),2)</f>
        <v>7.41</v>
      </c>
      <c r="H130" s="76">
        <f>ROUND(E130*G130,2)</f>
        <v>3073.15</v>
      </c>
      <c r="I130" s="75"/>
      <c r="J130" s="75">
        <v>414.73</v>
      </c>
      <c r="K130" s="75">
        <f t="shared" si="37"/>
        <v>0</v>
      </c>
      <c r="L130" s="76">
        <f>ROUND(E130*F130,2)</f>
        <v>2409.58</v>
      </c>
      <c r="M130" s="76">
        <f>I130*G130</f>
        <v>0</v>
      </c>
      <c r="N130" s="76">
        <f>J130*G130</f>
        <v>3073.1493</v>
      </c>
      <c r="O130" s="76">
        <f>H130-N130</f>
        <v>7.000000000516593E-4</v>
      </c>
      <c r="P130" s="90">
        <f t="shared" ref="P130:P143" si="38">N130/H130</f>
        <v>0.99999977222068559</v>
      </c>
      <c r="Q130" s="51"/>
      <c r="T130" s="53">
        <v>5.81</v>
      </c>
    </row>
    <row r="131" spans="1:20" s="56" customFormat="1" ht="12" x14ac:dyDescent="0.2">
      <c r="A131" s="94">
        <v>87775</v>
      </c>
      <c r="B131" s="73" t="s">
        <v>245</v>
      </c>
      <c r="C131" s="74" t="s">
        <v>228</v>
      </c>
      <c r="D131" s="73" t="s">
        <v>14</v>
      </c>
      <c r="E131" s="75">
        <v>184.11</v>
      </c>
      <c r="F131" s="75">
        <f>ROUND(T131*$T$10,2)</f>
        <v>37.78</v>
      </c>
      <c r="G131" s="75">
        <f>ROUND(F131*(1+$U$1),2)</f>
        <v>48.2</v>
      </c>
      <c r="H131" s="76">
        <f>ROUND(E131*G131,2)</f>
        <v>8874.1</v>
      </c>
      <c r="I131" s="75"/>
      <c r="J131" s="75">
        <v>184.11</v>
      </c>
      <c r="K131" s="75">
        <f t="shared" si="37"/>
        <v>0</v>
      </c>
      <c r="L131" s="76">
        <f>ROUND(E131*F131,2)</f>
        <v>6955.68</v>
      </c>
      <c r="M131" s="76">
        <f>I131*G131</f>
        <v>0</v>
      </c>
      <c r="N131" s="76">
        <f>J131*G131</f>
        <v>8874.1020000000008</v>
      </c>
      <c r="O131" s="76">
        <f>H131-N131</f>
        <v>-2.0000000004074536E-3</v>
      </c>
      <c r="P131" s="90">
        <f t="shared" si="38"/>
        <v>1.0000002253749676</v>
      </c>
      <c r="Q131" s="51"/>
      <c r="T131" s="53">
        <v>37.78</v>
      </c>
    </row>
    <row r="132" spans="1:20" s="56" customFormat="1" ht="12" x14ac:dyDescent="0.2">
      <c r="A132" s="73" t="s">
        <v>229</v>
      </c>
      <c r="B132" s="73" t="s">
        <v>246</v>
      </c>
      <c r="C132" s="74" t="s">
        <v>231</v>
      </c>
      <c r="D132" s="73" t="s">
        <v>14</v>
      </c>
      <c r="E132" s="75">
        <v>230.62</v>
      </c>
      <c r="F132" s="75">
        <f>ROUND(T132*$T$10,2)</f>
        <v>21.63</v>
      </c>
      <c r="G132" s="75">
        <f>ROUND(F132*(1+$U$1),2)</f>
        <v>27.6</v>
      </c>
      <c r="H132" s="76">
        <f>ROUND(E132*G132,2)</f>
        <v>6365.11</v>
      </c>
      <c r="I132" s="75"/>
      <c r="J132" s="75">
        <v>230.62</v>
      </c>
      <c r="K132" s="75">
        <f t="shared" si="37"/>
        <v>0</v>
      </c>
      <c r="L132" s="76">
        <f>ROUND(E132*F132,2)</f>
        <v>4988.3100000000004</v>
      </c>
      <c r="M132" s="76">
        <f>I132*G132</f>
        <v>0</v>
      </c>
      <c r="N132" s="76">
        <f>J132*G132</f>
        <v>6365.1120000000001</v>
      </c>
      <c r="O132" s="76">
        <f>H132-N132</f>
        <v>-2.0000000004074536E-3</v>
      </c>
      <c r="P132" s="90">
        <f t="shared" si="38"/>
        <v>1.0000003142129517</v>
      </c>
      <c r="Q132" s="51"/>
      <c r="T132" s="53">
        <v>21.63</v>
      </c>
    </row>
    <row r="133" spans="1:20" s="56" customFormat="1" ht="12" x14ac:dyDescent="0.2">
      <c r="A133" s="73" t="s">
        <v>247</v>
      </c>
      <c r="B133" s="73" t="s">
        <v>248</v>
      </c>
      <c r="C133" s="74" t="s">
        <v>249</v>
      </c>
      <c r="D133" s="73" t="s">
        <v>14</v>
      </c>
      <c r="E133" s="75">
        <v>460.27</v>
      </c>
      <c r="F133" s="75">
        <f>ROUND(T133*$T$10,2)</f>
        <v>38.770000000000003</v>
      </c>
      <c r="G133" s="75">
        <f>ROUND(F133*(1+$U$1),2)</f>
        <v>49.47</v>
      </c>
      <c r="H133" s="76">
        <f>ROUND(E133*G133,2)</f>
        <v>22769.56</v>
      </c>
      <c r="I133" s="75"/>
      <c r="J133" s="75">
        <v>460.27</v>
      </c>
      <c r="K133" s="75">
        <f t="shared" si="37"/>
        <v>0</v>
      </c>
      <c r="L133" s="76">
        <f>ROUND(E133*F133,2)</f>
        <v>17844.669999999998</v>
      </c>
      <c r="M133" s="76">
        <f>I133*G133</f>
        <v>0</v>
      </c>
      <c r="N133" s="76">
        <f>J133*G133</f>
        <v>22769.5569</v>
      </c>
      <c r="O133" s="76">
        <f>H133-N133</f>
        <v>3.1000000017229468E-3</v>
      </c>
      <c r="P133" s="90">
        <f t="shared" si="38"/>
        <v>0.99999986385331985</v>
      </c>
      <c r="Q133" s="51"/>
      <c r="T133" s="53">
        <v>38.770000000000003</v>
      </c>
    </row>
    <row r="134" spans="1:20" s="56" customFormat="1" ht="12" x14ac:dyDescent="0.2">
      <c r="A134" s="72"/>
      <c r="B134" s="71"/>
      <c r="C134" s="71"/>
      <c r="D134" s="71"/>
      <c r="E134" s="71"/>
      <c r="F134" s="75"/>
      <c r="G134" s="77" t="s">
        <v>250</v>
      </c>
      <c r="H134" s="78">
        <f>SUM(H130:H133)</f>
        <v>41081.919999999998</v>
      </c>
      <c r="I134" s="71"/>
      <c r="J134" s="75"/>
      <c r="K134" s="75"/>
      <c r="L134" s="78">
        <f>SUM(L130:L133)</f>
        <v>32198.239999999998</v>
      </c>
      <c r="M134" s="78">
        <f>SUM(M130:M133)</f>
        <v>0</v>
      </c>
      <c r="N134" s="78">
        <f>SUM(N130:N133)</f>
        <v>41081.9202</v>
      </c>
      <c r="O134" s="78">
        <f>SUM(O130:O133)</f>
        <v>-1.9999999904030119E-4</v>
      </c>
      <c r="P134" s="91">
        <f t="shared" si="38"/>
        <v>1.0000000048683217</v>
      </c>
      <c r="Q134" s="60"/>
      <c r="T134" s="59"/>
    </row>
    <row r="135" spans="1:20" s="56" customFormat="1" ht="12" x14ac:dyDescent="0.2">
      <c r="A135" s="72"/>
      <c r="B135" s="71"/>
      <c r="C135" s="71"/>
      <c r="D135" s="71"/>
      <c r="E135" s="71"/>
      <c r="F135" s="75"/>
      <c r="G135" s="77" t="s">
        <v>251</v>
      </c>
      <c r="H135" s="78">
        <f>SUM(H127,H134)</f>
        <v>117763.65</v>
      </c>
      <c r="I135" s="71"/>
      <c r="J135" s="75"/>
      <c r="K135" s="75"/>
      <c r="L135" s="78">
        <f>SUM(L127,L134)</f>
        <v>92295.76999999999</v>
      </c>
      <c r="M135" s="78">
        <f>SUM(M127,M134)</f>
        <v>0</v>
      </c>
      <c r="N135" s="78">
        <f>SUM(N127,N134)</f>
        <v>117763.65429999999</v>
      </c>
      <c r="O135" s="78">
        <f>SUM(O127,O134)</f>
        <v>-4.3000000046049536E-3</v>
      </c>
      <c r="P135" s="91">
        <f t="shared" si="38"/>
        <v>1.000000036513814</v>
      </c>
      <c r="Q135" s="60">
        <f>H135-N135</f>
        <v>-4.3000000005122274E-3</v>
      </c>
      <c r="T135" s="59"/>
    </row>
    <row r="136" spans="1:20" s="56" customFormat="1" ht="12" x14ac:dyDescent="0.2">
      <c r="A136" s="72"/>
      <c r="B136" s="70" t="s">
        <v>252</v>
      </c>
      <c r="C136" s="71" t="s">
        <v>253</v>
      </c>
      <c r="D136" s="71"/>
      <c r="E136" s="71"/>
      <c r="F136" s="75"/>
      <c r="G136" s="71"/>
      <c r="H136" s="72"/>
      <c r="I136" s="71"/>
      <c r="J136" s="75"/>
      <c r="K136" s="75"/>
      <c r="L136" s="71"/>
      <c r="M136" s="72"/>
      <c r="N136" s="72"/>
      <c r="O136" s="72"/>
      <c r="P136" s="72"/>
      <c r="Q136" s="52"/>
      <c r="T136" s="59"/>
    </row>
    <row r="137" spans="1:20" s="56" customFormat="1" ht="24" x14ac:dyDescent="0.2">
      <c r="A137" s="94">
        <v>98572</v>
      </c>
      <c r="B137" s="73" t="s">
        <v>254</v>
      </c>
      <c r="C137" s="74" t="s">
        <v>255</v>
      </c>
      <c r="D137" s="73" t="s">
        <v>14</v>
      </c>
      <c r="E137" s="76">
        <v>1707</v>
      </c>
      <c r="F137" s="75">
        <f t="shared" ref="F137:F143" si="39">ROUND(T137*$T$10,2)</f>
        <v>29.86</v>
      </c>
      <c r="G137" s="75">
        <f t="shared" ref="G137:G143" si="40">ROUND(F137*(1+$U$1),2)</f>
        <v>38.1</v>
      </c>
      <c r="H137" s="76">
        <f t="shared" ref="H137:H143" si="41">ROUND(E137*G137,2)</f>
        <v>65036.7</v>
      </c>
      <c r="I137" s="76"/>
      <c r="J137" s="75">
        <v>1707</v>
      </c>
      <c r="K137" s="75">
        <f t="shared" si="37"/>
        <v>0</v>
      </c>
      <c r="L137" s="76">
        <f t="shared" ref="L137:L143" si="42">ROUND(E137*F137,2)</f>
        <v>50971.02</v>
      </c>
      <c r="M137" s="76">
        <f t="shared" ref="M137:M143" si="43">I137*G137</f>
        <v>0</v>
      </c>
      <c r="N137" s="76">
        <f t="shared" ref="N137:N143" si="44">J137*G137</f>
        <v>65036.700000000004</v>
      </c>
      <c r="O137" s="76">
        <f t="shared" ref="O137:O143" si="45">H137-N137</f>
        <v>0</v>
      </c>
      <c r="P137" s="90">
        <f t="shared" si="38"/>
        <v>1.0000000000000002</v>
      </c>
      <c r="Q137" s="51"/>
      <c r="T137" s="53">
        <v>29.86</v>
      </c>
    </row>
    <row r="138" spans="1:20" s="56" customFormat="1" ht="12" x14ac:dyDescent="0.2">
      <c r="A138" s="94">
        <v>98560</v>
      </c>
      <c r="B138" s="73" t="s">
        <v>256</v>
      </c>
      <c r="C138" s="74" t="s">
        <v>257</v>
      </c>
      <c r="D138" s="73" t="s">
        <v>14</v>
      </c>
      <c r="E138" s="76">
        <v>1304.0999999999999</v>
      </c>
      <c r="F138" s="75">
        <f t="shared" si="39"/>
        <v>32.090000000000003</v>
      </c>
      <c r="G138" s="75">
        <f t="shared" si="40"/>
        <v>40.94</v>
      </c>
      <c r="H138" s="76">
        <f t="shared" si="41"/>
        <v>53389.85</v>
      </c>
      <c r="I138" s="76"/>
      <c r="J138" s="75">
        <v>1304.0999999999999</v>
      </c>
      <c r="K138" s="75">
        <f t="shared" si="37"/>
        <v>0</v>
      </c>
      <c r="L138" s="76">
        <f t="shared" si="42"/>
        <v>41848.57</v>
      </c>
      <c r="M138" s="76">
        <f t="shared" si="43"/>
        <v>0</v>
      </c>
      <c r="N138" s="76">
        <f t="shared" si="44"/>
        <v>53389.853999999992</v>
      </c>
      <c r="O138" s="76">
        <f t="shared" si="45"/>
        <v>-3.9999999935389496E-3</v>
      </c>
      <c r="P138" s="90">
        <f t="shared" si="38"/>
        <v>1.0000000749206075</v>
      </c>
      <c r="Q138" s="51"/>
      <c r="T138" s="53">
        <v>32.090000000000003</v>
      </c>
    </row>
    <row r="139" spans="1:20" s="56" customFormat="1" ht="12" x14ac:dyDescent="0.2">
      <c r="A139" s="94">
        <v>92391</v>
      </c>
      <c r="B139" s="73" t="s">
        <v>258</v>
      </c>
      <c r="C139" s="74" t="s">
        <v>259</v>
      </c>
      <c r="D139" s="73" t="s">
        <v>14</v>
      </c>
      <c r="E139" s="75">
        <v>224</v>
      </c>
      <c r="F139" s="75">
        <f t="shared" si="39"/>
        <v>46.88</v>
      </c>
      <c r="G139" s="75">
        <f t="shared" si="40"/>
        <v>59.81</v>
      </c>
      <c r="H139" s="76">
        <f t="shared" si="41"/>
        <v>13397.44</v>
      </c>
      <c r="I139" s="75"/>
      <c r="J139" s="75">
        <v>224</v>
      </c>
      <c r="K139" s="75">
        <f t="shared" si="37"/>
        <v>0</v>
      </c>
      <c r="L139" s="76">
        <f t="shared" si="42"/>
        <v>10501.12</v>
      </c>
      <c r="M139" s="76">
        <f t="shared" si="43"/>
        <v>0</v>
      </c>
      <c r="N139" s="76">
        <f t="shared" si="44"/>
        <v>13397.44</v>
      </c>
      <c r="O139" s="76">
        <f t="shared" si="45"/>
        <v>0</v>
      </c>
      <c r="P139" s="90">
        <f t="shared" si="38"/>
        <v>1</v>
      </c>
      <c r="Q139" s="51"/>
      <c r="T139" s="53">
        <v>46.88</v>
      </c>
    </row>
    <row r="140" spans="1:20" s="56" customFormat="1" ht="12" x14ac:dyDescent="0.2">
      <c r="A140" s="73" t="s">
        <v>260</v>
      </c>
      <c r="B140" s="73" t="s">
        <v>261</v>
      </c>
      <c r="C140" s="74" t="s">
        <v>262</v>
      </c>
      <c r="D140" s="73" t="s">
        <v>14</v>
      </c>
      <c r="E140" s="75">
        <v>36</v>
      </c>
      <c r="F140" s="75">
        <f t="shared" si="39"/>
        <v>31.2</v>
      </c>
      <c r="G140" s="75">
        <f t="shared" si="40"/>
        <v>39.81</v>
      </c>
      <c r="H140" s="76">
        <f t="shared" si="41"/>
        <v>1433.16</v>
      </c>
      <c r="I140" s="75"/>
      <c r="J140" s="75">
        <v>36</v>
      </c>
      <c r="K140" s="75">
        <f t="shared" si="37"/>
        <v>0</v>
      </c>
      <c r="L140" s="76">
        <f t="shared" si="42"/>
        <v>1123.2</v>
      </c>
      <c r="M140" s="76">
        <f t="shared" si="43"/>
        <v>0</v>
      </c>
      <c r="N140" s="76">
        <f t="shared" si="44"/>
        <v>1433.16</v>
      </c>
      <c r="O140" s="76">
        <f t="shared" si="45"/>
        <v>0</v>
      </c>
      <c r="P140" s="90">
        <f t="shared" si="38"/>
        <v>1</v>
      </c>
      <c r="Q140" s="51"/>
      <c r="T140" s="53">
        <v>31.2</v>
      </c>
    </row>
    <row r="141" spans="1:20" s="56" customFormat="1" ht="12" x14ac:dyDescent="0.2">
      <c r="A141" s="94">
        <v>88477</v>
      </c>
      <c r="B141" s="73" t="s">
        <v>265</v>
      </c>
      <c r="C141" s="74" t="s">
        <v>264</v>
      </c>
      <c r="D141" s="73" t="s">
        <v>14</v>
      </c>
      <c r="E141" s="75">
        <v>470</v>
      </c>
      <c r="F141" s="75">
        <f t="shared" si="39"/>
        <v>19.170000000000002</v>
      </c>
      <c r="G141" s="75">
        <f t="shared" si="40"/>
        <v>24.46</v>
      </c>
      <c r="H141" s="76">
        <f t="shared" si="41"/>
        <v>11496.2</v>
      </c>
      <c r="I141" s="75"/>
      <c r="J141" s="75">
        <v>470</v>
      </c>
      <c r="K141" s="75">
        <f t="shared" si="37"/>
        <v>0</v>
      </c>
      <c r="L141" s="76">
        <f t="shared" si="42"/>
        <v>9009.9</v>
      </c>
      <c r="M141" s="76">
        <f t="shared" si="43"/>
        <v>0</v>
      </c>
      <c r="N141" s="76">
        <f t="shared" si="44"/>
        <v>11496.2</v>
      </c>
      <c r="O141" s="76">
        <f t="shared" si="45"/>
        <v>0</v>
      </c>
      <c r="P141" s="90">
        <f t="shared" si="38"/>
        <v>1</v>
      </c>
      <c r="Q141" s="51"/>
      <c r="T141" s="53">
        <v>19.170000000000002</v>
      </c>
    </row>
    <row r="142" spans="1:20" s="56" customFormat="1" ht="24" x14ac:dyDescent="0.2">
      <c r="A142" s="94">
        <v>84191</v>
      </c>
      <c r="B142" s="73" t="s">
        <v>268</v>
      </c>
      <c r="C142" s="74" t="s">
        <v>266</v>
      </c>
      <c r="D142" s="73" t="s">
        <v>14</v>
      </c>
      <c r="E142" s="75">
        <v>885</v>
      </c>
      <c r="F142" s="75">
        <f t="shared" si="39"/>
        <v>98.11</v>
      </c>
      <c r="G142" s="75">
        <f t="shared" si="40"/>
        <v>125.18</v>
      </c>
      <c r="H142" s="76">
        <f t="shared" si="41"/>
        <v>110784.3</v>
      </c>
      <c r="I142" s="76"/>
      <c r="J142" s="75">
        <v>885</v>
      </c>
      <c r="K142" s="75">
        <f t="shared" si="37"/>
        <v>0</v>
      </c>
      <c r="L142" s="76">
        <f t="shared" si="42"/>
        <v>86827.35</v>
      </c>
      <c r="M142" s="76">
        <f t="shared" si="43"/>
        <v>0</v>
      </c>
      <c r="N142" s="76">
        <f t="shared" si="44"/>
        <v>110784.3</v>
      </c>
      <c r="O142" s="76">
        <f t="shared" si="45"/>
        <v>0</v>
      </c>
      <c r="P142" s="90">
        <f t="shared" si="38"/>
        <v>1</v>
      </c>
      <c r="Q142" s="51"/>
      <c r="T142" s="53">
        <v>98.11</v>
      </c>
    </row>
    <row r="143" spans="1:20" s="56" customFormat="1" ht="12" x14ac:dyDescent="0.2">
      <c r="A143" s="73" t="s">
        <v>267</v>
      </c>
      <c r="B143" s="73" t="s">
        <v>1268</v>
      </c>
      <c r="C143" s="74" t="s">
        <v>269</v>
      </c>
      <c r="D143" s="73" t="s">
        <v>81</v>
      </c>
      <c r="E143" s="75">
        <v>77</v>
      </c>
      <c r="F143" s="75">
        <f t="shared" si="39"/>
        <v>174.65</v>
      </c>
      <c r="G143" s="75">
        <f t="shared" si="40"/>
        <v>222.84</v>
      </c>
      <c r="H143" s="76">
        <f t="shared" si="41"/>
        <v>17158.68</v>
      </c>
      <c r="I143" s="75"/>
      <c r="J143" s="75">
        <v>77</v>
      </c>
      <c r="K143" s="75">
        <f t="shared" si="37"/>
        <v>0</v>
      </c>
      <c r="L143" s="76">
        <f t="shared" si="42"/>
        <v>13448.05</v>
      </c>
      <c r="M143" s="76">
        <f t="shared" si="43"/>
        <v>0</v>
      </c>
      <c r="N143" s="76">
        <f t="shared" si="44"/>
        <v>17158.68</v>
      </c>
      <c r="O143" s="76">
        <f t="shared" si="45"/>
        <v>0</v>
      </c>
      <c r="P143" s="90">
        <f t="shared" si="38"/>
        <v>1</v>
      </c>
      <c r="Q143" s="51"/>
      <c r="T143" s="53">
        <v>174.65</v>
      </c>
    </row>
    <row r="144" spans="1:20" s="56" customFormat="1" ht="12" x14ac:dyDescent="0.2">
      <c r="A144" s="72"/>
      <c r="B144" s="71"/>
      <c r="C144" s="71"/>
      <c r="D144" s="71"/>
      <c r="E144" s="71"/>
      <c r="F144" s="75"/>
      <c r="G144" s="77" t="s">
        <v>1399</v>
      </c>
      <c r="H144" s="78">
        <f>SUM(H137:H143)</f>
        <v>272696.33</v>
      </c>
      <c r="I144" s="71"/>
      <c r="J144" s="75">
        <v>0</v>
      </c>
      <c r="K144" s="75">
        <f t="shared" si="37"/>
        <v>0</v>
      </c>
      <c r="L144" s="78">
        <f>SUM(L137:L143)</f>
        <v>213729.20999999996</v>
      </c>
      <c r="M144" s="78">
        <f>SUM(M137:M143)</f>
        <v>0</v>
      </c>
      <c r="N144" s="78">
        <f>SUM(N137:N143)</f>
        <v>272696.33400000003</v>
      </c>
      <c r="O144" s="78">
        <f>SUM(O137:O143)</f>
        <v>-3.9999999935389496E-3</v>
      </c>
      <c r="P144" s="91">
        <f>N144/H144</f>
        <v>1.000000014668331</v>
      </c>
      <c r="Q144" s="60"/>
      <c r="R144" s="58"/>
      <c r="T144" s="59"/>
    </row>
    <row r="145" spans="1:20" s="56" customFormat="1" ht="12" x14ac:dyDescent="0.2">
      <c r="A145" s="72"/>
      <c r="B145" s="70" t="s">
        <v>271</v>
      </c>
      <c r="C145" s="71" t="s">
        <v>272</v>
      </c>
      <c r="D145" s="71"/>
      <c r="E145" s="71"/>
      <c r="F145" s="75"/>
      <c r="G145" s="71"/>
      <c r="H145" s="72"/>
      <c r="I145" s="71"/>
      <c r="J145" s="75">
        <v>0</v>
      </c>
      <c r="K145" s="75">
        <f t="shared" si="37"/>
        <v>0</v>
      </c>
      <c r="L145" s="71"/>
      <c r="M145" s="72"/>
      <c r="N145" s="72"/>
      <c r="O145" s="72"/>
      <c r="P145" s="72"/>
      <c r="Q145" s="52"/>
      <c r="T145" s="59"/>
    </row>
    <row r="146" spans="1:20" s="56" customFormat="1" ht="12" x14ac:dyDescent="0.2">
      <c r="A146" s="73" t="s">
        <v>273</v>
      </c>
      <c r="B146" s="73" t="s">
        <v>274</v>
      </c>
      <c r="C146" s="74" t="s">
        <v>275</v>
      </c>
      <c r="D146" s="73" t="s">
        <v>81</v>
      </c>
      <c r="E146" s="75">
        <v>32.799999999999997</v>
      </c>
      <c r="F146" s="75">
        <f>ROUND(T146*$T$10,2)</f>
        <v>33.909999999999997</v>
      </c>
      <c r="G146" s="75">
        <f>ROUND(F146*(1+$U$1),2)</f>
        <v>43.27</v>
      </c>
      <c r="H146" s="76">
        <f>ROUND(E146*G146,2)</f>
        <v>1419.26</v>
      </c>
      <c r="I146" s="75"/>
      <c r="J146" s="75">
        <v>32.799999999999997</v>
      </c>
      <c r="K146" s="75">
        <f t="shared" si="37"/>
        <v>0</v>
      </c>
      <c r="L146" s="76">
        <f>ROUND(E146*F146,2)</f>
        <v>1112.25</v>
      </c>
      <c r="M146" s="76">
        <f>I146*G146</f>
        <v>0</v>
      </c>
      <c r="N146" s="76">
        <f>J146*G146</f>
        <v>1419.2560000000001</v>
      </c>
      <c r="O146" s="76">
        <f>H146-N146</f>
        <v>3.9999999999054126E-3</v>
      </c>
      <c r="P146" s="90">
        <f t="shared" ref="P146:P187" si="46">N146/H146</f>
        <v>0.99999718162986351</v>
      </c>
      <c r="Q146" s="51"/>
      <c r="T146" s="53">
        <v>33.909999999999997</v>
      </c>
    </row>
    <row r="147" spans="1:20" s="56" customFormat="1" ht="12" x14ac:dyDescent="0.2">
      <c r="A147" s="94">
        <v>96467</v>
      </c>
      <c r="B147" s="73" t="s">
        <v>276</v>
      </c>
      <c r="C147" s="74" t="s">
        <v>277</v>
      </c>
      <c r="D147" s="73" t="s">
        <v>81</v>
      </c>
      <c r="E147" s="75">
        <v>648</v>
      </c>
      <c r="F147" s="75">
        <f>ROUND(T147*$T$10,2)</f>
        <v>4.1100000000000003</v>
      </c>
      <c r="G147" s="75">
        <f>ROUND(F147*(1+$U$1),2)</f>
        <v>5.24</v>
      </c>
      <c r="H147" s="76">
        <f>ROUND(E147*G147,2)</f>
        <v>3395.52</v>
      </c>
      <c r="I147" s="75"/>
      <c r="J147" s="75">
        <v>648</v>
      </c>
      <c r="K147" s="75">
        <f t="shared" si="37"/>
        <v>0</v>
      </c>
      <c r="L147" s="76">
        <f>ROUND(E147*F147,2)</f>
        <v>2663.28</v>
      </c>
      <c r="M147" s="76">
        <f>I147*G147</f>
        <v>0</v>
      </c>
      <c r="N147" s="76">
        <f>J147*G147</f>
        <v>3395.52</v>
      </c>
      <c r="O147" s="76">
        <f>H147-N147</f>
        <v>0</v>
      </c>
      <c r="P147" s="90">
        <f t="shared" si="46"/>
        <v>1</v>
      </c>
      <c r="Q147" s="51"/>
      <c r="T147" s="53">
        <v>4.1100000000000003</v>
      </c>
    </row>
    <row r="148" spans="1:20" s="56" customFormat="1" ht="12" x14ac:dyDescent="0.2">
      <c r="A148" s="73" t="s">
        <v>78</v>
      </c>
      <c r="B148" s="73" t="s">
        <v>278</v>
      </c>
      <c r="C148" s="74" t="s">
        <v>279</v>
      </c>
      <c r="D148" s="73" t="s">
        <v>81</v>
      </c>
      <c r="E148" s="75">
        <v>100</v>
      </c>
      <c r="F148" s="75">
        <f>ROUND(T148*$T$10,2)</f>
        <v>9.81</v>
      </c>
      <c r="G148" s="75">
        <f>ROUND(F148*(1+$U$1),2)</f>
        <v>12.52</v>
      </c>
      <c r="H148" s="76">
        <f>ROUND(E148*G148,2)</f>
        <v>1252</v>
      </c>
      <c r="I148" s="75"/>
      <c r="J148" s="75">
        <v>100</v>
      </c>
      <c r="K148" s="75">
        <f t="shared" si="37"/>
        <v>0</v>
      </c>
      <c r="L148" s="76">
        <f>ROUND(E148*F148,2)</f>
        <v>981</v>
      </c>
      <c r="M148" s="76">
        <f>I148*G148</f>
        <v>0</v>
      </c>
      <c r="N148" s="76">
        <f>J148*G148</f>
        <v>1252</v>
      </c>
      <c r="O148" s="76">
        <f>H148-N148</f>
        <v>0</v>
      </c>
      <c r="P148" s="90">
        <f t="shared" si="46"/>
        <v>1</v>
      </c>
      <c r="Q148" s="51"/>
      <c r="T148" s="53">
        <v>9.81</v>
      </c>
    </row>
    <row r="149" spans="1:20" s="56" customFormat="1" ht="12" x14ac:dyDescent="0.2">
      <c r="A149" s="73" t="s">
        <v>280</v>
      </c>
      <c r="B149" s="73" t="s">
        <v>281</v>
      </c>
      <c r="C149" s="74" t="s">
        <v>282</v>
      </c>
      <c r="D149" s="73" t="s">
        <v>81</v>
      </c>
      <c r="E149" s="75">
        <v>548</v>
      </c>
      <c r="F149" s="75">
        <f>ROUND(T149*$T$10,2)</f>
        <v>12.72</v>
      </c>
      <c r="G149" s="75">
        <f>ROUND(F149*(1+$U$1),2)</f>
        <v>16.23</v>
      </c>
      <c r="H149" s="76">
        <f>ROUND(E149*G149,2)</f>
        <v>8894.0400000000009</v>
      </c>
      <c r="I149" s="75"/>
      <c r="J149" s="75">
        <v>548</v>
      </c>
      <c r="K149" s="75">
        <f t="shared" si="37"/>
        <v>0</v>
      </c>
      <c r="L149" s="76">
        <f>ROUND(E149*F149,2)</f>
        <v>6970.56</v>
      </c>
      <c r="M149" s="76">
        <f>I149*G149</f>
        <v>0</v>
      </c>
      <c r="N149" s="76">
        <f>J149*G149</f>
        <v>8894.0400000000009</v>
      </c>
      <c r="O149" s="76">
        <f>H149-N149</f>
        <v>0</v>
      </c>
      <c r="P149" s="90">
        <f t="shared" si="46"/>
        <v>1</v>
      </c>
      <c r="Q149" s="51"/>
      <c r="T149" s="53">
        <v>12.72</v>
      </c>
    </row>
    <row r="150" spans="1:20" s="56" customFormat="1" ht="12" x14ac:dyDescent="0.2">
      <c r="A150" s="72"/>
      <c r="B150" s="71"/>
      <c r="C150" s="71"/>
      <c r="D150" s="71"/>
      <c r="E150" s="71"/>
      <c r="F150" s="75"/>
      <c r="G150" s="77" t="s">
        <v>283</v>
      </c>
      <c r="H150" s="78">
        <f>SUM(H146:H149)</f>
        <v>14960.82</v>
      </c>
      <c r="I150" s="71"/>
      <c r="J150" s="75">
        <v>0</v>
      </c>
      <c r="K150" s="75">
        <f t="shared" si="37"/>
        <v>0</v>
      </c>
      <c r="L150" s="78">
        <f>SUM(L146:L149)</f>
        <v>11727.09</v>
      </c>
      <c r="M150" s="78">
        <f>SUM(M146:M149)</f>
        <v>0</v>
      </c>
      <c r="N150" s="78">
        <f>SUM(N146:N149)</f>
        <v>14960.816000000001</v>
      </c>
      <c r="O150" s="78">
        <f>SUM(O146:O149)</f>
        <v>3.9999999999054126E-3</v>
      </c>
      <c r="P150" s="91">
        <f t="shared" si="46"/>
        <v>0.99999973263497599</v>
      </c>
      <c r="Q150" s="60"/>
      <c r="R150" s="58"/>
      <c r="T150" s="59"/>
    </row>
    <row r="151" spans="1:20" s="56" customFormat="1" ht="12" x14ac:dyDescent="0.2">
      <c r="A151" s="72"/>
      <c r="B151" s="70" t="s">
        <v>284</v>
      </c>
      <c r="C151" s="71" t="s">
        <v>285</v>
      </c>
      <c r="D151" s="71"/>
      <c r="E151" s="71"/>
      <c r="F151" s="75"/>
      <c r="G151" s="71"/>
      <c r="H151" s="72"/>
      <c r="I151" s="71"/>
      <c r="J151" s="75">
        <v>0</v>
      </c>
      <c r="K151" s="75">
        <f t="shared" si="37"/>
        <v>0</v>
      </c>
      <c r="L151" s="71"/>
      <c r="M151" s="72"/>
      <c r="N151" s="72"/>
      <c r="O151" s="72"/>
      <c r="P151" s="90"/>
      <c r="Q151" s="52"/>
      <c r="T151" s="59"/>
    </row>
    <row r="152" spans="1:20" s="56" customFormat="1" ht="12" x14ac:dyDescent="0.2">
      <c r="A152" s="72"/>
      <c r="B152" s="79">
        <v>12.1</v>
      </c>
      <c r="C152" s="71" t="s">
        <v>286</v>
      </c>
      <c r="D152" s="72"/>
      <c r="E152" s="72"/>
      <c r="F152" s="75"/>
      <c r="G152" s="72"/>
      <c r="H152" s="72"/>
      <c r="I152" s="72"/>
      <c r="J152" s="75">
        <v>0</v>
      </c>
      <c r="K152" s="75">
        <f t="shared" si="37"/>
        <v>0</v>
      </c>
      <c r="L152" s="72"/>
      <c r="M152" s="72"/>
      <c r="N152" s="72"/>
      <c r="O152" s="72"/>
      <c r="P152" s="90"/>
      <c r="Q152" s="52"/>
      <c r="T152" s="52"/>
    </row>
    <row r="153" spans="1:20" s="56" customFormat="1" ht="12" x14ac:dyDescent="0.2">
      <c r="A153" s="94">
        <v>88489</v>
      </c>
      <c r="B153" s="80">
        <v>40909</v>
      </c>
      <c r="C153" s="74" t="s">
        <v>287</v>
      </c>
      <c r="D153" s="73" t="s">
        <v>14</v>
      </c>
      <c r="E153" s="75">
        <v>638.78</v>
      </c>
      <c r="F153" s="75">
        <f>ROUND(T153*$T$10,2)</f>
        <v>8.41</v>
      </c>
      <c r="G153" s="75">
        <f>ROUND(F153*(1+$U$1),2)</f>
        <v>10.73</v>
      </c>
      <c r="H153" s="76">
        <f>ROUND(E153*G153,2)</f>
        <v>6854.11</v>
      </c>
      <c r="I153" s="75"/>
      <c r="J153" s="75">
        <v>638.78000000000009</v>
      </c>
      <c r="K153" s="75">
        <f t="shared" si="37"/>
        <v>0</v>
      </c>
      <c r="L153" s="76">
        <f>ROUND(E153*F153,2)</f>
        <v>5372.14</v>
      </c>
      <c r="M153" s="76">
        <f>I153*G153</f>
        <v>0</v>
      </c>
      <c r="N153" s="76">
        <f>J153*G153</f>
        <v>6854.1094000000012</v>
      </c>
      <c r="O153" s="76">
        <f>H153-N153</f>
        <v>5.9999999848514562E-4</v>
      </c>
      <c r="P153" s="90">
        <f t="shared" si="46"/>
        <v>0.99999991246128261</v>
      </c>
      <c r="Q153" s="51"/>
      <c r="T153" s="53">
        <v>8.41</v>
      </c>
    </row>
    <row r="154" spans="1:20" s="56" customFormat="1" ht="24" x14ac:dyDescent="0.2">
      <c r="A154" s="94">
        <v>88497</v>
      </c>
      <c r="B154" s="80">
        <v>40910</v>
      </c>
      <c r="C154" s="74" t="s">
        <v>288</v>
      </c>
      <c r="D154" s="73" t="s">
        <v>14</v>
      </c>
      <c r="E154" s="75">
        <v>638.78</v>
      </c>
      <c r="F154" s="75">
        <f>ROUND(T154*$T$10,2)</f>
        <v>9.49</v>
      </c>
      <c r="G154" s="75">
        <f>ROUND(F154*(1+$U$1),2)</f>
        <v>12.11</v>
      </c>
      <c r="H154" s="76">
        <f>ROUND(E154*G154,2)</f>
        <v>7735.63</v>
      </c>
      <c r="I154" s="75"/>
      <c r="J154" s="75">
        <v>638.78</v>
      </c>
      <c r="K154" s="75">
        <f t="shared" si="37"/>
        <v>0</v>
      </c>
      <c r="L154" s="76">
        <f>ROUND(E154*F154,2)</f>
        <v>6062.02</v>
      </c>
      <c r="M154" s="76">
        <f>I154*G154</f>
        <v>0</v>
      </c>
      <c r="N154" s="76">
        <f>J154*G154</f>
        <v>7735.6257999999989</v>
      </c>
      <c r="O154" s="76">
        <f>H154-N154</f>
        <v>4.2000000012194505E-3</v>
      </c>
      <c r="P154" s="90">
        <f t="shared" si="46"/>
        <v>0.99999945705779603</v>
      </c>
      <c r="Q154" s="51"/>
      <c r="T154" s="53">
        <v>9.49</v>
      </c>
    </row>
    <row r="155" spans="1:20" s="56" customFormat="1" ht="12" x14ac:dyDescent="0.2">
      <c r="A155" s="94">
        <v>88487</v>
      </c>
      <c r="B155" s="80">
        <v>40911</v>
      </c>
      <c r="C155" s="74" t="s">
        <v>289</v>
      </c>
      <c r="D155" s="73" t="s">
        <v>14</v>
      </c>
      <c r="E155" s="75">
        <v>77.3</v>
      </c>
      <c r="F155" s="75">
        <f>ROUND(T155*$T$10,2)</f>
        <v>6.56</v>
      </c>
      <c r="G155" s="75">
        <f>ROUND(F155*(1+$U$1),2)</f>
        <v>8.3699999999999992</v>
      </c>
      <c r="H155" s="76">
        <f>ROUND(E155*G155,2)</f>
        <v>647</v>
      </c>
      <c r="I155" s="75"/>
      <c r="J155" s="75">
        <v>77.3</v>
      </c>
      <c r="K155" s="75">
        <f t="shared" si="37"/>
        <v>0</v>
      </c>
      <c r="L155" s="76">
        <f>ROUND(E155*F155,2)</f>
        <v>507.09</v>
      </c>
      <c r="M155" s="76">
        <f>I155*G155</f>
        <v>0</v>
      </c>
      <c r="N155" s="76">
        <f>J155*G155</f>
        <v>647.00099999999986</v>
      </c>
      <c r="O155" s="76">
        <f>H155-N155</f>
        <v>-9.999999998626663E-4</v>
      </c>
      <c r="P155" s="90">
        <f t="shared" si="46"/>
        <v>1.0000015455950539</v>
      </c>
      <c r="Q155" s="51"/>
      <c r="T155" s="53">
        <v>6.56</v>
      </c>
    </row>
    <row r="156" spans="1:20" s="56" customFormat="1" ht="12" x14ac:dyDescent="0.2">
      <c r="A156" s="72"/>
      <c r="B156" s="70" t="s">
        <v>290</v>
      </c>
      <c r="C156" s="71" t="s">
        <v>291</v>
      </c>
      <c r="D156" s="71"/>
      <c r="E156" s="71"/>
      <c r="F156" s="75"/>
      <c r="G156" s="72"/>
      <c r="H156" s="72"/>
      <c r="I156" s="71"/>
      <c r="J156" s="75">
        <v>0</v>
      </c>
      <c r="K156" s="75"/>
      <c r="L156" s="72"/>
      <c r="M156" s="72"/>
      <c r="N156" s="72"/>
      <c r="O156" s="72"/>
      <c r="P156" s="90"/>
      <c r="Q156" s="52"/>
      <c r="T156" s="59"/>
    </row>
    <row r="157" spans="1:20" s="56" customFormat="1" ht="12" x14ac:dyDescent="0.2">
      <c r="A157" s="94">
        <v>88489</v>
      </c>
      <c r="B157" s="80">
        <v>40940</v>
      </c>
      <c r="C157" s="74" t="s">
        <v>287</v>
      </c>
      <c r="D157" s="73" t="s">
        <v>14</v>
      </c>
      <c r="E157" s="75">
        <v>606.17999999999995</v>
      </c>
      <c r="F157" s="75">
        <f>ROUND(T157*$T$10,2)</f>
        <v>8.41</v>
      </c>
      <c r="G157" s="75">
        <f>ROUND(F157*(1+$U$1),2)</f>
        <v>10.73</v>
      </c>
      <c r="H157" s="76">
        <f>ROUND(E157*G157,2)</f>
        <v>6504.31</v>
      </c>
      <c r="I157" s="75">
        <v>9.8788439999907496E-2</v>
      </c>
      <c r="J157" s="75">
        <f>606.08121156+I157</f>
        <v>606.17999999999995</v>
      </c>
      <c r="K157" s="75">
        <f t="shared" si="37"/>
        <v>0</v>
      </c>
      <c r="L157" s="76">
        <f>ROUND(E157*F157,2)</f>
        <v>5097.97</v>
      </c>
      <c r="M157" s="76">
        <f>I157*G157</f>
        <v>1.0599999611990074</v>
      </c>
      <c r="N157" s="76">
        <f>J157*G157</f>
        <v>6504.3113999999996</v>
      </c>
      <c r="O157" s="76">
        <f>H157-N157</f>
        <v>-1.3999999991938239E-3</v>
      </c>
      <c r="P157" s="90">
        <f t="shared" si="46"/>
        <v>1.0000002152418934</v>
      </c>
      <c r="Q157" s="51"/>
      <c r="T157" s="53">
        <v>8.41</v>
      </c>
    </row>
    <row r="158" spans="1:20" s="56" customFormat="1" ht="12" x14ac:dyDescent="0.2">
      <c r="A158" s="72"/>
      <c r="B158" s="70" t="s">
        <v>292</v>
      </c>
      <c r="C158" s="71" t="s">
        <v>235</v>
      </c>
      <c r="D158" s="71"/>
      <c r="E158" s="71"/>
      <c r="F158" s="75"/>
      <c r="G158" s="72"/>
      <c r="H158" s="72"/>
      <c r="I158" s="71"/>
      <c r="J158" s="75">
        <v>0</v>
      </c>
      <c r="K158" s="75">
        <f t="shared" si="37"/>
        <v>0</v>
      </c>
      <c r="L158" s="72"/>
      <c r="M158" s="72"/>
      <c r="N158" s="72"/>
      <c r="O158" s="72"/>
      <c r="P158" s="90"/>
      <c r="Q158" s="52"/>
      <c r="T158" s="59"/>
    </row>
    <row r="159" spans="1:20" s="56" customFormat="1" ht="12" x14ac:dyDescent="0.2">
      <c r="A159" s="94">
        <v>88487</v>
      </c>
      <c r="B159" s="73" t="s">
        <v>293</v>
      </c>
      <c r="C159" s="74" t="s">
        <v>289</v>
      </c>
      <c r="D159" s="73" t="s">
        <v>14</v>
      </c>
      <c r="E159" s="75">
        <v>732.68</v>
      </c>
      <c r="F159" s="75">
        <f>ROUND(T159*$T$10,2)</f>
        <v>6.56</v>
      </c>
      <c r="G159" s="75">
        <f>ROUND(F159*(1+$U$1),2)</f>
        <v>8.3699999999999992</v>
      </c>
      <c r="H159" s="76">
        <f>ROUND(E159*G159,2)</f>
        <v>6132.53</v>
      </c>
      <c r="I159" s="75"/>
      <c r="J159" s="75">
        <v>732.68</v>
      </c>
      <c r="K159" s="75">
        <f t="shared" si="37"/>
        <v>0</v>
      </c>
      <c r="L159" s="76">
        <f>ROUND(E159*F159,2)</f>
        <v>4806.38</v>
      </c>
      <c r="M159" s="76">
        <f>I159*G159</f>
        <v>0</v>
      </c>
      <c r="N159" s="76">
        <f>J159*G159</f>
        <v>6132.5315999999993</v>
      </c>
      <c r="O159" s="76">
        <f>H159-N159</f>
        <v>-1.5999999995983671E-3</v>
      </c>
      <c r="P159" s="90">
        <f t="shared" si="46"/>
        <v>1.0000002609037379</v>
      </c>
      <c r="Q159" s="51"/>
      <c r="T159" s="53">
        <v>6.56</v>
      </c>
    </row>
    <row r="160" spans="1:20" s="56" customFormat="1" ht="24" x14ac:dyDescent="0.2">
      <c r="A160" s="94">
        <v>88497</v>
      </c>
      <c r="B160" s="73" t="s">
        <v>294</v>
      </c>
      <c r="C160" s="74" t="s">
        <v>288</v>
      </c>
      <c r="D160" s="73" t="s">
        <v>14</v>
      </c>
      <c r="E160" s="75">
        <v>732.68</v>
      </c>
      <c r="F160" s="75">
        <f>ROUND(T160*$T$10,2)</f>
        <v>9.49</v>
      </c>
      <c r="G160" s="75">
        <f>ROUND(F160*(1+$U$1),2)</f>
        <v>12.11</v>
      </c>
      <c r="H160" s="76">
        <f>ROUND(E160*G160,2)</f>
        <v>8872.75</v>
      </c>
      <c r="I160" s="75"/>
      <c r="J160" s="75">
        <v>732.68</v>
      </c>
      <c r="K160" s="75">
        <f t="shared" si="37"/>
        <v>0</v>
      </c>
      <c r="L160" s="76">
        <f>ROUND(E160*F160,2)</f>
        <v>6953.13</v>
      </c>
      <c r="M160" s="76">
        <f>I160*G160</f>
        <v>0</v>
      </c>
      <c r="N160" s="76">
        <f>J160*G160</f>
        <v>8872.7547999999988</v>
      </c>
      <c r="O160" s="76">
        <f>H160-N160</f>
        <v>-4.7999999987951014E-3</v>
      </c>
      <c r="P160" s="90">
        <f t="shared" si="46"/>
        <v>1.0000005409822208</v>
      </c>
      <c r="Q160" s="51"/>
      <c r="T160" s="53">
        <v>9.49</v>
      </c>
    </row>
    <row r="161" spans="1:20" s="56" customFormat="1" ht="12" x14ac:dyDescent="0.2">
      <c r="A161" s="72"/>
      <c r="B161" s="70" t="s">
        <v>295</v>
      </c>
      <c r="C161" s="71" t="s">
        <v>296</v>
      </c>
      <c r="D161" s="71"/>
      <c r="E161" s="71"/>
      <c r="F161" s="75"/>
      <c r="G161" s="72"/>
      <c r="H161" s="72"/>
      <c r="I161" s="71"/>
      <c r="J161" s="75"/>
      <c r="K161" s="75"/>
      <c r="L161" s="72"/>
      <c r="M161" s="72"/>
      <c r="N161" s="72"/>
      <c r="O161" s="72"/>
      <c r="P161" s="90"/>
      <c r="Q161" s="52"/>
      <c r="T161" s="59"/>
    </row>
    <row r="162" spans="1:20" s="56" customFormat="1" ht="12" x14ac:dyDescent="0.2">
      <c r="A162" s="73" t="s">
        <v>297</v>
      </c>
      <c r="B162" s="80">
        <v>41000</v>
      </c>
      <c r="C162" s="74" t="s">
        <v>298</v>
      </c>
      <c r="D162" s="73" t="s">
        <v>14</v>
      </c>
      <c r="E162" s="75">
        <v>257.60000000000002</v>
      </c>
      <c r="F162" s="75">
        <f>ROUND(T162*$T$10,2)</f>
        <v>13.87</v>
      </c>
      <c r="G162" s="75">
        <f>ROUND(F162*(1+$U$1),2)</f>
        <v>17.7</v>
      </c>
      <c r="H162" s="76">
        <f>ROUND(E162*G162,2)</f>
        <v>4559.5200000000004</v>
      </c>
      <c r="I162" s="75"/>
      <c r="J162" s="75">
        <v>257.60000000000002</v>
      </c>
      <c r="K162" s="75">
        <f t="shared" si="37"/>
        <v>0</v>
      </c>
      <c r="L162" s="76">
        <f>ROUND(E162*F162,2)</f>
        <v>3572.91</v>
      </c>
      <c r="M162" s="76">
        <f>I162*G162</f>
        <v>0</v>
      </c>
      <c r="N162" s="76">
        <f>J162*G162</f>
        <v>4559.5200000000004</v>
      </c>
      <c r="O162" s="76">
        <f>H162-N162</f>
        <v>0</v>
      </c>
      <c r="P162" s="90">
        <f t="shared" si="46"/>
        <v>1</v>
      </c>
      <c r="Q162" s="51"/>
      <c r="T162" s="53">
        <v>13.87</v>
      </c>
    </row>
    <row r="163" spans="1:20" s="56" customFormat="1" ht="12" x14ac:dyDescent="0.2">
      <c r="A163" s="94">
        <v>40905</v>
      </c>
      <c r="B163" s="80">
        <v>41001</v>
      </c>
      <c r="C163" s="74" t="s">
        <v>299</v>
      </c>
      <c r="D163" s="73" t="s">
        <v>14</v>
      </c>
      <c r="E163" s="75">
        <v>54.8</v>
      </c>
      <c r="F163" s="75">
        <f>ROUND(T163*$T$10,2)</f>
        <v>16.510000000000002</v>
      </c>
      <c r="G163" s="75">
        <f>ROUND(F163*(1+$U$1),2)</f>
        <v>21.07</v>
      </c>
      <c r="H163" s="76">
        <f>ROUND(E163*G163,2)</f>
        <v>1154.6400000000001</v>
      </c>
      <c r="I163" s="75">
        <v>54.8</v>
      </c>
      <c r="J163" s="75">
        <f>I163</f>
        <v>54.8</v>
      </c>
      <c r="K163" s="75">
        <f t="shared" si="37"/>
        <v>0</v>
      </c>
      <c r="L163" s="76">
        <f>ROUND(E163*F163,2)</f>
        <v>904.75</v>
      </c>
      <c r="M163" s="76">
        <f>I163*G163</f>
        <v>1154.636</v>
      </c>
      <c r="N163" s="76">
        <f>J163*G163</f>
        <v>1154.636</v>
      </c>
      <c r="O163" s="76">
        <f>H163-N163</f>
        <v>4.0000000001327862E-3</v>
      </c>
      <c r="P163" s="90">
        <f t="shared" si="46"/>
        <v>0.99999653571676006</v>
      </c>
      <c r="Q163" s="51"/>
      <c r="T163" s="53">
        <v>16.510000000000002</v>
      </c>
    </row>
    <row r="164" spans="1:20" s="56" customFormat="1" ht="12" x14ac:dyDescent="0.2">
      <c r="A164" s="73" t="s">
        <v>300</v>
      </c>
      <c r="B164" s="80">
        <v>41002</v>
      </c>
      <c r="C164" s="74" t="s">
        <v>301</v>
      </c>
      <c r="D164" s="73" t="s">
        <v>14</v>
      </c>
      <c r="E164" s="75">
        <v>170.5</v>
      </c>
      <c r="F164" s="75">
        <f>ROUND(T164*$T$10,2)</f>
        <v>20.6</v>
      </c>
      <c r="G164" s="75">
        <f>ROUND(F164*(1+$U$1),2)</f>
        <v>26.28</v>
      </c>
      <c r="H164" s="76">
        <f>ROUND(E164*G164,2)</f>
        <v>4480.74</v>
      </c>
      <c r="I164" s="75"/>
      <c r="J164" s="75">
        <v>170.5</v>
      </c>
      <c r="K164" s="75">
        <f t="shared" si="37"/>
        <v>0</v>
      </c>
      <c r="L164" s="76">
        <f>ROUND(E164*F164,2)</f>
        <v>3512.3</v>
      </c>
      <c r="M164" s="76">
        <f>I164*G164</f>
        <v>0</v>
      </c>
      <c r="N164" s="76">
        <f>J164*G164</f>
        <v>4480.74</v>
      </c>
      <c r="O164" s="76">
        <f>H164-N164</f>
        <v>0</v>
      </c>
      <c r="P164" s="90">
        <f t="shared" si="46"/>
        <v>1</v>
      </c>
      <c r="Q164" s="51"/>
      <c r="T164" s="53">
        <v>20.6</v>
      </c>
    </row>
    <row r="165" spans="1:20" s="56" customFormat="1" ht="12" x14ac:dyDescent="0.2">
      <c r="A165" s="72"/>
      <c r="B165" s="71"/>
      <c r="C165" s="71"/>
      <c r="D165" s="71"/>
      <c r="E165" s="71"/>
      <c r="F165" s="75"/>
      <c r="G165" s="77" t="s">
        <v>302</v>
      </c>
      <c r="H165" s="78">
        <f>SUM(H153:H164)</f>
        <v>46941.23</v>
      </c>
      <c r="I165" s="71"/>
      <c r="J165" s="75">
        <v>0</v>
      </c>
      <c r="K165" s="75">
        <f t="shared" si="37"/>
        <v>0</v>
      </c>
      <c r="L165" s="78">
        <f>SUM(L153:L164)</f>
        <v>36788.69</v>
      </c>
      <c r="M165" s="78">
        <f>SUM(M153:M164)</f>
        <v>1155.695999961199</v>
      </c>
      <c r="N165" s="78">
        <f>SUM(N153:N164)</f>
        <v>46941.229999999989</v>
      </c>
      <c r="O165" s="78">
        <f>SUM(O153:O164)</f>
        <v>2.3874235921539366E-12</v>
      </c>
      <c r="P165" s="91">
        <f t="shared" si="46"/>
        <v>0.99999999999999967</v>
      </c>
      <c r="Q165" s="60"/>
      <c r="T165" s="59"/>
    </row>
    <row r="166" spans="1:20" s="56" customFormat="1" ht="12" x14ac:dyDescent="0.2">
      <c r="A166" s="72"/>
      <c r="B166" s="70" t="s">
        <v>303</v>
      </c>
      <c r="C166" s="71" t="s">
        <v>304</v>
      </c>
      <c r="D166" s="71"/>
      <c r="E166" s="71"/>
      <c r="F166" s="75"/>
      <c r="G166" s="71"/>
      <c r="H166" s="72"/>
      <c r="I166" s="71"/>
      <c r="J166" s="75"/>
      <c r="K166" s="75"/>
      <c r="L166" s="71"/>
      <c r="M166" s="72"/>
      <c r="N166" s="72"/>
      <c r="O166" s="72"/>
      <c r="P166" s="72"/>
      <c r="Q166" s="52"/>
      <c r="T166" s="59"/>
    </row>
    <row r="167" spans="1:20" s="56" customFormat="1" ht="12" x14ac:dyDescent="0.2">
      <c r="A167" s="73" t="s">
        <v>305</v>
      </c>
      <c r="B167" s="73" t="s">
        <v>306</v>
      </c>
      <c r="C167" s="74" t="s">
        <v>307</v>
      </c>
      <c r="D167" s="73" t="s">
        <v>14</v>
      </c>
      <c r="E167" s="75">
        <v>43.5</v>
      </c>
      <c r="F167" s="75">
        <f t="shared" ref="F167:F187" si="47">ROUND(T167*$T$10,2)</f>
        <v>224.11</v>
      </c>
      <c r="G167" s="75">
        <f t="shared" ref="G167:G187" si="48">ROUND(F167*(1+$U$1),2)</f>
        <v>285.94</v>
      </c>
      <c r="H167" s="76">
        <f t="shared" ref="H167:H187" si="49">ROUND(E167*G167,2)</f>
        <v>12438.39</v>
      </c>
      <c r="I167" s="75"/>
      <c r="J167" s="75">
        <v>43.5</v>
      </c>
      <c r="K167" s="75">
        <f t="shared" si="37"/>
        <v>0</v>
      </c>
      <c r="L167" s="76">
        <f t="shared" ref="L167:L187" si="50">ROUND(E167*F167,2)</f>
        <v>9748.7900000000009</v>
      </c>
      <c r="M167" s="76">
        <f t="shared" ref="M167:M187" si="51">I167*G167</f>
        <v>0</v>
      </c>
      <c r="N167" s="76">
        <f t="shared" ref="N167:N187" si="52">J167*G167</f>
        <v>12438.39</v>
      </c>
      <c r="O167" s="76">
        <f t="shared" ref="O167:O187" si="53">H167-N167</f>
        <v>0</v>
      </c>
      <c r="P167" s="90">
        <f t="shared" si="46"/>
        <v>1</v>
      </c>
      <c r="Q167" s="51"/>
      <c r="T167" s="53">
        <v>224.11</v>
      </c>
    </row>
    <row r="168" spans="1:20" s="56" customFormat="1" ht="12" x14ac:dyDescent="0.2">
      <c r="A168" s="73" t="s">
        <v>308</v>
      </c>
      <c r="B168" s="73" t="s">
        <v>309</v>
      </c>
      <c r="C168" s="74" t="s">
        <v>310</v>
      </c>
      <c r="D168" s="73" t="s">
        <v>14</v>
      </c>
      <c r="E168" s="75">
        <v>10.5</v>
      </c>
      <c r="F168" s="75">
        <f t="shared" si="47"/>
        <v>312.5</v>
      </c>
      <c r="G168" s="75">
        <f t="shared" si="48"/>
        <v>398.72</v>
      </c>
      <c r="H168" s="76">
        <f t="shared" si="49"/>
        <v>4186.5600000000004</v>
      </c>
      <c r="I168" s="75"/>
      <c r="J168" s="75">
        <v>10.5</v>
      </c>
      <c r="K168" s="75">
        <f t="shared" si="37"/>
        <v>0</v>
      </c>
      <c r="L168" s="76">
        <f t="shared" si="50"/>
        <v>3281.25</v>
      </c>
      <c r="M168" s="76">
        <f t="shared" si="51"/>
        <v>0</v>
      </c>
      <c r="N168" s="76">
        <f t="shared" si="52"/>
        <v>4186.5600000000004</v>
      </c>
      <c r="O168" s="76">
        <f t="shared" si="53"/>
        <v>0</v>
      </c>
      <c r="P168" s="90">
        <f t="shared" si="46"/>
        <v>1</v>
      </c>
      <c r="Q168" s="51"/>
      <c r="T168" s="53">
        <v>312.5</v>
      </c>
    </row>
    <row r="169" spans="1:20" s="56" customFormat="1" ht="24" x14ac:dyDescent="0.2">
      <c r="A169" s="73" t="s">
        <v>78</v>
      </c>
      <c r="B169" s="73" t="s">
        <v>311</v>
      </c>
      <c r="C169" s="74" t="s">
        <v>312</v>
      </c>
      <c r="D169" s="73" t="s">
        <v>14</v>
      </c>
      <c r="E169" s="75">
        <v>53</v>
      </c>
      <c r="F169" s="75">
        <f t="shared" si="47"/>
        <v>323.14</v>
      </c>
      <c r="G169" s="75">
        <f t="shared" si="48"/>
        <v>412.29</v>
      </c>
      <c r="H169" s="76">
        <f t="shared" si="49"/>
        <v>21851.37</v>
      </c>
      <c r="I169" s="75"/>
      <c r="J169" s="75">
        <v>53</v>
      </c>
      <c r="K169" s="75">
        <f t="shared" si="37"/>
        <v>0</v>
      </c>
      <c r="L169" s="76">
        <f t="shared" si="50"/>
        <v>17126.419999999998</v>
      </c>
      <c r="M169" s="76">
        <f t="shared" si="51"/>
        <v>0</v>
      </c>
      <c r="N169" s="76">
        <f t="shared" si="52"/>
        <v>21851.370000000003</v>
      </c>
      <c r="O169" s="76">
        <f t="shared" si="53"/>
        <v>0</v>
      </c>
      <c r="P169" s="90">
        <f t="shared" si="46"/>
        <v>1.0000000000000002</v>
      </c>
      <c r="Q169" s="51"/>
      <c r="T169" s="53">
        <v>323.14</v>
      </c>
    </row>
    <row r="170" spans="1:20" s="56" customFormat="1" ht="12" x14ac:dyDescent="0.2">
      <c r="A170" s="73" t="s">
        <v>305</v>
      </c>
      <c r="B170" s="73" t="s">
        <v>313</v>
      </c>
      <c r="C170" s="74" t="s">
        <v>314</v>
      </c>
      <c r="D170" s="73" t="s">
        <v>14</v>
      </c>
      <c r="E170" s="75">
        <v>35.700000000000003</v>
      </c>
      <c r="F170" s="75">
        <f t="shared" si="47"/>
        <v>224.11</v>
      </c>
      <c r="G170" s="75">
        <f t="shared" si="48"/>
        <v>285.94</v>
      </c>
      <c r="H170" s="76">
        <f t="shared" si="49"/>
        <v>10208.06</v>
      </c>
      <c r="I170" s="75"/>
      <c r="J170" s="75">
        <v>35.700000000000003</v>
      </c>
      <c r="K170" s="75">
        <f t="shared" si="37"/>
        <v>0</v>
      </c>
      <c r="L170" s="76">
        <f t="shared" si="50"/>
        <v>8000.73</v>
      </c>
      <c r="M170" s="76">
        <f t="shared" si="51"/>
        <v>0</v>
      </c>
      <c r="N170" s="76">
        <f t="shared" si="52"/>
        <v>10208.058000000001</v>
      </c>
      <c r="O170" s="76">
        <f t="shared" si="53"/>
        <v>1.9999999985884642E-3</v>
      </c>
      <c r="P170" s="90">
        <f t="shared" si="46"/>
        <v>0.99999980407638689</v>
      </c>
      <c r="Q170" s="51"/>
      <c r="T170" s="53">
        <v>224.11</v>
      </c>
    </row>
    <row r="171" spans="1:20" s="56" customFormat="1" ht="12" x14ac:dyDescent="0.2">
      <c r="A171" s="94">
        <v>20231</v>
      </c>
      <c r="B171" s="73" t="s">
        <v>315</v>
      </c>
      <c r="C171" s="74" t="s">
        <v>316</v>
      </c>
      <c r="D171" s="73" t="s">
        <v>81</v>
      </c>
      <c r="E171" s="75">
        <v>65.8</v>
      </c>
      <c r="F171" s="75">
        <f t="shared" si="47"/>
        <v>33.93</v>
      </c>
      <c r="G171" s="75">
        <f t="shared" si="48"/>
        <v>43.29</v>
      </c>
      <c r="H171" s="76">
        <f t="shared" si="49"/>
        <v>2848.48</v>
      </c>
      <c r="I171" s="75"/>
      <c r="J171" s="75">
        <v>65.8</v>
      </c>
      <c r="K171" s="75">
        <f t="shared" si="37"/>
        <v>0</v>
      </c>
      <c r="L171" s="76">
        <f t="shared" si="50"/>
        <v>2232.59</v>
      </c>
      <c r="M171" s="76">
        <f t="shared" si="51"/>
        <v>0</v>
      </c>
      <c r="N171" s="76">
        <f t="shared" si="52"/>
        <v>2848.482</v>
      </c>
      <c r="O171" s="76">
        <f t="shared" si="53"/>
        <v>-1.9999999999527063E-3</v>
      </c>
      <c r="P171" s="90">
        <f t="shared" si="46"/>
        <v>1.0000007021288546</v>
      </c>
      <c r="Q171" s="51"/>
      <c r="T171" s="53">
        <v>33.93</v>
      </c>
    </row>
    <row r="172" spans="1:20" s="56" customFormat="1" ht="24" x14ac:dyDescent="0.2">
      <c r="A172" s="94">
        <v>20231</v>
      </c>
      <c r="B172" s="73" t="s">
        <v>317</v>
      </c>
      <c r="C172" s="74" t="s">
        <v>318</v>
      </c>
      <c r="D172" s="73" t="s">
        <v>81</v>
      </c>
      <c r="E172" s="75">
        <v>99.5</v>
      </c>
      <c r="F172" s="75">
        <f t="shared" si="47"/>
        <v>33.93</v>
      </c>
      <c r="G172" s="75">
        <f t="shared" si="48"/>
        <v>43.29</v>
      </c>
      <c r="H172" s="76">
        <f t="shared" si="49"/>
        <v>4307.3599999999997</v>
      </c>
      <c r="I172" s="75"/>
      <c r="J172" s="75">
        <v>99.5</v>
      </c>
      <c r="K172" s="75">
        <f t="shared" si="37"/>
        <v>0</v>
      </c>
      <c r="L172" s="76">
        <f t="shared" si="50"/>
        <v>3376.04</v>
      </c>
      <c r="M172" s="76">
        <f t="shared" si="51"/>
        <v>0</v>
      </c>
      <c r="N172" s="76">
        <f t="shared" si="52"/>
        <v>4307.3549999999996</v>
      </c>
      <c r="O172" s="76">
        <f t="shared" si="53"/>
        <v>5.0000000001091394E-3</v>
      </c>
      <c r="P172" s="90">
        <f t="shared" si="46"/>
        <v>0.9999988391961665</v>
      </c>
      <c r="Q172" s="51"/>
      <c r="T172" s="53">
        <v>33.93</v>
      </c>
    </row>
    <row r="173" spans="1:20" s="56" customFormat="1" ht="12" x14ac:dyDescent="0.2">
      <c r="A173" s="94">
        <v>20231</v>
      </c>
      <c r="B173" s="73" t="s">
        <v>319</v>
      </c>
      <c r="C173" s="74" t="s">
        <v>320</v>
      </c>
      <c r="D173" s="73" t="s">
        <v>81</v>
      </c>
      <c r="E173" s="75">
        <v>130.80000000000001</v>
      </c>
      <c r="F173" s="75">
        <f t="shared" si="47"/>
        <v>33.93</v>
      </c>
      <c r="G173" s="75">
        <f t="shared" si="48"/>
        <v>43.29</v>
      </c>
      <c r="H173" s="76">
        <f t="shared" si="49"/>
        <v>5662.33</v>
      </c>
      <c r="I173" s="75"/>
      <c r="J173" s="75">
        <v>130.80000000000001</v>
      </c>
      <c r="K173" s="75">
        <f t="shared" si="37"/>
        <v>0</v>
      </c>
      <c r="L173" s="76">
        <f t="shared" si="50"/>
        <v>4438.04</v>
      </c>
      <c r="M173" s="76">
        <f t="shared" si="51"/>
        <v>0</v>
      </c>
      <c r="N173" s="76">
        <f t="shared" si="52"/>
        <v>5662.3320000000003</v>
      </c>
      <c r="O173" s="76">
        <f t="shared" si="53"/>
        <v>-2.0000000004074536E-3</v>
      </c>
      <c r="P173" s="90">
        <f t="shared" si="46"/>
        <v>1.0000003532114872</v>
      </c>
      <c r="Q173" s="51"/>
      <c r="T173" s="53">
        <v>33.93</v>
      </c>
    </row>
    <row r="174" spans="1:20" s="56" customFormat="1" ht="12" x14ac:dyDescent="0.2">
      <c r="A174" s="94">
        <v>20231</v>
      </c>
      <c r="B174" s="73" t="s">
        <v>321</v>
      </c>
      <c r="C174" s="74" t="s">
        <v>322</v>
      </c>
      <c r="D174" s="73" t="s">
        <v>81</v>
      </c>
      <c r="E174" s="75">
        <v>90.4</v>
      </c>
      <c r="F174" s="75">
        <f t="shared" si="47"/>
        <v>33.93</v>
      </c>
      <c r="G174" s="75">
        <f t="shared" si="48"/>
        <v>43.29</v>
      </c>
      <c r="H174" s="76">
        <f t="shared" si="49"/>
        <v>3913.42</v>
      </c>
      <c r="I174" s="75"/>
      <c r="J174" s="75">
        <v>90.4</v>
      </c>
      <c r="K174" s="75">
        <f t="shared" si="37"/>
        <v>0</v>
      </c>
      <c r="L174" s="76">
        <f t="shared" si="50"/>
        <v>3067.27</v>
      </c>
      <c r="M174" s="76">
        <f t="shared" si="51"/>
        <v>0</v>
      </c>
      <c r="N174" s="76">
        <f t="shared" si="52"/>
        <v>3913.4160000000002</v>
      </c>
      <c r="O174" s="76">
        <f t="shared" si="53"/>
        <v>3.9999999999054126E-3</v>
      </c>
      <c r="P174" s="90">
        <f t="shared" si="46"/>
        <v>0.99999897787612879</v>
      </c>
      <c r="Q174" s="51"/>
      <c r="T174" s="53">
        <v>33.93</v>
      </c>
    </row>
    <row r="175" spans="1:20" s="56" customFormat="1" ht="12" x14ac:dyDescent="0.2">
      <c r="A175" s="94">
        <v>20231</v>
      </c>
      <c r="B175" s="73" t="s">
        <v>323</v>
      </c>
      <c r="C175" s="74" t="s">
        <v>324</v>
      </c>
      <c r="D175" s="73" t="s">
        <v>81</v>
      </c>
      <c r="E175" s="75">
        <v>19.2</v>
      </c>
      <c r="F175" s="75">
        <f t="shared" si="47"/>
        <v>33.93</v>
      </c>
      <c r="G175" s="75">
        <f t="shared" si="48"/>
        <v>43.29</v>
      </c>
      <c r="H175" s="76">
        <f t="shared" si="49"/>
        <v>831.17</v>
      </c>
      <c r="I175" s="75"/>
      <c r="J175" s="75">
        <v>19.2</v>
      </c>
      <c r="K175" s="75">
        <f t="shared" si="37"/>
        <v>0</v>
      </c>
      <c r="L175" s="76">
        <f t="shared" si="50"/>
        <v>651.46</v>
      </c>
      <c r="M175" s="76">
        <f t="shared" si="51"/>
        <v>0</v>
      </c>
      <c r="N175" s="76">
        <f t="shared" si="52"/>
        <v>831.16800000000001</v>
      </c>
      <c r="O175" s="76">
        <f t="shared" si="53"/>
        <v>1.9999999999527063E-3</v>
      </c>
      <c r="P175" s="90">
        <f t="shared" si="46"/>
        <v>0.99999759375338382</v>
      </c>
      <c r="Q175" s="51"/>
      <c r="T175" s="53">
        <v>33.93</v>
      </c>
    </row>
    <row r="176" spans="1:20" s="56" customFormat="1" ht="12" x14ac:dyDescent="0.2">
      <c r="A176" s="73" t="s">
        <v>308</v>
      </c>
      <c r="B176" s="73" t="s">
        <v>325</v>
      </c>
      <c r="C176" s="74" t="s">
        <v>326</v>
      </c>
      <c r="D176" s="73" t="s">
        <v>102</v>
      </c>
      <c r="E176" s="75">
        <v>2</v>
      </c>
      <c r="F176" s="75">
        <f t="shared" si="47"/>
        <v>58.84</v>
      </c>
      <c r="G176" s="75">
        <f t="shared" si="48"/>
        <v>75.069999999999993</v>
      </c>
      <c r="H176" s="76">
        <f t="shared" si="49"/>
        <v>150.13999999999999</v>
      </c>
      <c r="I176" s="75"/>
      <c r="J176" s="75">
        <v>2</v>
      </c>
      <c r="K176" s="75">
        <f t="shared" si="37"/>
        <v>0</v>
      </c>
      <c r="L176" s="76">
        <f t="shared" si="50"/>
        <v>117.68</v>
      </c>
      <c r="M176" s="76">
        <f t="shared" si="51"/>
        <v>0</v>
      </c>
      <c r="N176" s="76">
        <f t="shared" si="52"/>
        <v>150.13999999999999</v>
      </c>
      <c r="O176" s="76">
        <f t="shared" si="53"/>
        <v>0</v>
      </c>
      <c r="P176" s="90">
        <f t="shared" si="46"/>
        <v>1</v>
      </c>
      <c r="Q176" s="51"/>
      <c r="T176" s="53">
        <v>58.84</v>
      </c>
    </row>
    <row r="177" spans="1:20" s="56" customFormat="1" ht="12" x14ac:dyDescent="0.2">
      <c r="A177" s="94">
        <v>84862</v>
      </c>
      <c r="B177" s="73" t="s">
        <v>327</v>
      </c>
      <c r="C177" s="74" t="s">
        <v>328</v>
      </c>
      <c r="D177" s="73" t="s">
        <v>81</v>
      </c>
      <c r="E177" s="75">
        <v>10.9</v>
      </c>
      <c r="F177" s="75">
        <f t="shared" si="47"/>
        <v>190.09</v>
      </c>
      <c r="G177" s="75">
        <f t="shared" si="48"/>
        <v>242.54</v>
      </c>
      <c r="H177" s="76">
        <f t="shared" si="49"/>
        <v>2643.69</v>
      </c>
      <c r="I177" s="75"/>
      <c r="J177" s="75">
        <v>10.9</v>
      </c>
      <c r="K177" s="75">
        <f t="shared" si="37"/>
        <v>0</v>
      </c>
      <c r="L177" s="76">
        <f t="shared" si="50"/>
        <v>2071.98</v>
      </c>
      <c r="M177" s="76">
        <f t="shared" si="51"/>
        <v>0</v>
      </c>
      <c r="N177" s="76">
        <f t="shared" si="52"/>
        <v>2643.6860000000001</v>
      </c>
      <c r="O177" s="76">
        <f t="shared" si="53"/>
        <v>3.9999999999054126E-3</v>
      </c>
      <c r="P177" s="90">
        <f t="shared" si="46"/>
        <v>0.99999848696329752</v>
      </c>
      <c r="Q177" s="51"/>
      <c r="T177" s="53">
        <v>190.09</v>
      </c>
    </row>
    <row r="178" spans="1:20" s="56" customFormat="1" ht="12" x14ac:dyDescent="0.2">
      <c r="A178" s="73" t="s">
        <v>329</v>
      </c>
      <c r="B178" s="73" t="s">
        <v>330</v>
      </c>
      <c r="C178" s="74" t="s">
        <v>331</v>
      </c>
      <c r="D178" s="73" t="s">
        <v>81</v>
      </c>
      <c r="E178" s="75">
        <v>11.79</v>
      </c>
      <c r="F178" s="75">
        <f t="shared" si="47"/>
        <v>222.14</v>
      </c>
      <c r="G178" s="75">
        <f t="shared" si="48"/>
        <v>283.43</v>
      </c>
      <c r="H178" s="76">
        <f t="shared" si="49"/>
        <v>3341.64</v>
      </c>
      <c r="I178" s="75"/>
      <c r="J178" s="75">
        <v>11.79</v>
      </c>
      <c r="K178" s="75">
        <f t="shared" si="37"/>
        <v>0</v>
      </c>
      <c r="L178" s="76">
        <f t="shared" si="50"/>
        <v>2619.0300000000002</v>
      </c>
      <c r="M178" s="76">
        <f t="shared" si="51"/>
        <v>0</v>
      </c>
      <c r="N178" s="76">
        <f t="shared" si="52"/>
        <v>3341.6396999999997</v>
      </c>
      <c r="O178" s="76">
        <f t="shared" si="53"/>
        <v>3.0000000015206751E-4</v>
      </c>
      <c r="P178" s="90">
        <f t="shared" si="46"/>
        <v>0.99999991022372248</v>
      </c>
      <c r="Q178" s="51"/>
      <c r="T178" s="53">
        <v>222.14</v>
      </c>
    </row>
    <row r="179" spans="1:20" s="56" customFormat="1" ht="24" x14ac:dyDescent="0.2">
      <c r="A179" s="73" t="s">
        <v>78</v>
      </c>
      <c r="B179" s="73" t="s">
        <v>332</v>
      </c>
      <c r="C179" s="74" t="s">
        <v>333</v>
      </c>
      <c r="D179" s="73" t="s">
        <v>102</v>
      </c>
      <c r="E179" s="75">
        <v>1</v>
      </c>
      <c r="F179" s="75">
        <f t="shared" si="47"/>
        <v>474.97</v>
      </c>
      <c r="G179" s="75">
        <f t="shared" si="48"/>
        <v>606.01</v>
      </c>
      <c r="H179" s="76">
        <f t="shared" si="49"/>
        <v>606.01</v>
      </c>
      <c r="I179" s="75"/>
      <c r="J179" s="75">
        <v>1</v>
      </c>
      <c r="K179" s="75">
        <f t="shared" si="37"/>
        <v>0</v>
      </c>
      <c r="L179" s="76">
        <f t="shared" si="50"/>
        <v>474.97</v>
      </c>
      <c r="M179" s="76">
        <f t="shared" si="51"/>
        <v>0</v>
      </c>
      <c r="N179" s="76">
        <f t="shared" si="52"/>
        <v>606.01</v>
      </c>
      <c r="O179" s="76">
        <f t="shared" si="53"/>
        <v>0</v>
      </c>
      <c r="P179" s="90">
        <f t="shared" si="46"/>
        <v>1</v>
      </c>
      <c r="Q179" s="51"/>
      <c r="T179" s="53">
        <v>474.97</v>
      </c>
    </row>
    <row r="180" spans="1:20" s="56" customFormat="1" ht="12" x14ac:dyDescent="0.2">
      <c r="A180" s="73" t="s">
        <v>308</v>
      </c>
      <c r="B180" s="73" t="s">
        <v>334</v>
      </c>
      <c r="C180" s="74" t="s">
        <v>335</v>
      </c>
      <c r="D180" s="73" t="s">
        <v>336</v>
      </c>
      <c r="E180" s="75">
        <v>2</v>
      </c>
      <c r="F180" s="75">
        <f t="shared" si="47"/>
        <v>891.52</v>
      </c>
      <c r="G180" s="75">
        <f t="shared" si="48"/>
        <v>1137.49</v>
      </c>
      <c r="H180" s="76">
        <f t="shared" si="49"/>
        <v>2274.98</v>
      </c>
      <c r="I180" s="75">
        <v>2</v>
      </c>
      <c r="J180" s="75">
        <f>I180</f>
        <v>2</v>
      </c>
      <c r="K180" s="75">
        <f t="shared" si="37"/>
        <v>0</v>
      </c>
      <c r="L180" s="76">
        <f t="shared" si="50"/>
        <v>1783.04</v>
      </c>
      <c r="M180" s="76">
        <f t="shared" si="51"/>
        <v>2274.98</v>
      </c>
      <c r="N180" s="76">
        <f t="shared" si="52"/>
        <v>2274.98</v>
      </c>
      <c r="O180" s="76">
        <f t="shared" si="53"/>
        <v>0</v>
      </c>
      <c r="P180" s="90">
        <f t="shared" si="46"/>
        <v>1</v>
      </c>
      <c r="Q180" s="51"/>
      <c r="T180" s="53">
        <v>891.52</v>
      </c>
    </row>
    <row r="181" spans="1:20" s="56" customFormat="1" ht="12" x14ac:dyDescent="0.2">
      <c r="A181" s="73" t="s">
        <v>308</v>
      </c>
      <c r="B181" s="73" t="s">
        <v>337</v>
      </c>
      <c r="C181" s="74" t="s">
        <v>338</v>
      </c>
      <c r="D181" s="73" t="s">
        <v>102</v>
      </c>
      <c r="E181" s="75">
        <v>8</v>
      </c>
      <c r="F181" s="75">
        <f t="shared" si="47"/>
        <v>179</v>
      </c>
      <c r="G181" s="75">
        <f t="shared" si="48"/>
        <v>228.39</v>
      </c>
      <c r="H181" s="76">
        <f t="shared" si="49"/>
        <v>1827.12</v>
      </c>
      <c r="I181" s="75">
        <v>8</v>
      </c>
      <c r="J181" s="75">
        <f t="shared" ref="J181:J182" si="54">I181</f>
        <v>8</v>
      </c>
      <c r="K181" s="75">
        <f t="shared" si="37"/>
        <v>0</v>
      </c>
      <c r="L181" s="76">
        <f t="shared" si="50"/>
        <v>1432</v>
      </c>
      <c r="M181" s="76">
        <f t="shared" si="51"/>
        <v>1827.12</v>
      </c>
      <c r="N181" s="76">
        <f t="shared" si="52"/>
        <v>1827.12</v>
      </c>
      <c r="O181" s="76">
        <f t="shared" si="53"/>
        <v>0</v>
      </c>
      <c r="P181" s="90">
        <f t="shared" si="46"/>
        <v>1</v>
      </c>
      <c r="Q181" s="51"/>
      <c r="T181" s="53">
        <v>179</v>
      </c>
    </row>
    <row r="182" spans="1:20" s="56" customFormat="1" ht="12" x14ac:dyDescent="0.2">
      <c r="A182" s="73" t="s">
        <v>308</v>
      </c>
      <c r="B182" s="73" t="s">
        <v>339</v>
      </c>
      <c r="C182" s="74" t="s">
        <v>340</v>
      </c>
      <c r="D182" s="73" t="s">
        <v>336</v>
      </c>
      <c r="E182" s="75">
        <v>2</v>
      </c>
      <c r="F182" s="75">
        <f t="shared" si="47"/>
        <v>144</v>
      </c>
      <c r="G182" s="75">
        <f t="shared" si="48"/>
        <v>183.73</v>
      </c>
      <c r="H182" s="76">
        <f t="shared" si="49"/>
        <v>367.46</v>
      </c>
      <c r="I182" s="75">
        <v>2</v>
      </c>
      <c r="J182" s="75">
        <f t="shared" si="54"/>
        <v>2</v>
      </c>
      <c r="K182" s="75">
        <f t="shared" si="37"/>
        <v>0</v>
      </c>
      <c r="L182" s="76">
        <f t="shared" si="50"/>
        <v>288</v>
      </c>
      <c r="M182" s="76">
        <f t="shared" si="51"/>
        <v>367.46</v>
      </c>
      <c r="N182" s="76">
        <f t="shared" si="52"/>
        <v>367.46</v>
      </c>
      <c r="O182" s="76">
        <f t="shared" si="53"/>
        <v>0</v>
      </c>
      <c r="P182" s="90">
        <f t="shared" si="46"/>
        <v>1</v>
      </c>
      <c r="Q182" s="51"/>
      <c r="T182" s="53">
        <v>144</v>
      </c>
    </row>
    <row r="183" spans="1:20" s="56" customFormat="1" ht="12" x14ac:dyDescent="0.2">
      <c r="A183" s="73" t="s">
        <v>78</v>
      </c>
      <c r="B183" s="73" t="s">
        <v>341</v>
      </c>
      <c r="C183" s="74" t="s">
        <v>342</v>
      </c>
      <c r="D183" s="73" t="s">
        <v>81</v>
      </c>
      <c r="E183" s="75">
        <v>2.85</v>
      </c>
      <c r="F183" s="75">
        <f t="shared" si="47"/>
        <v>201.25</v>
      </c>
      <c r="G183" s="75">
        <f t="shared" si="48"/>
        <v>256.77</v>
      </c>
      <c r="H183" s="76">
        <f t="shared" si="49"/>
        <v>731.79</v>
      </c>
      <c r="I183" s="75"/>
      <c r="J183" s="75">
        <v>2.85</v>
      </c>
      <c r="K183" s="75">
        <f t="shared" si="37"/>
        <v>0</v>
      </c>
      <c r="L183" s="76">
        <f t="shared" si="50"/>
        <v>573.55999999999995</v>
      </c>
      <c r="M183" s="76">
        <f t="shared" si="51"/>
        <v>0</v>
      </c>
      <c r="N183" s="76">
        <f t="shared" si="52"/>
        <v>731.79449999999997</v>
      </c>
      <c r="O183" s="76">
        <f t="shared" si="53"/>
        <v>-4.500000000007276E-3</v>
      </c>
      <c r="P183" s="90">
        <f t="shared" si="46"/>
        <v>1.0000061493051284</v>
      </c>
      <c r="Q183" s="51"/>
      <c r="T183" s="53">
        <v>201.25</v>
      </c>
    </row>
    <row r="184" spans="1:20" s="56" customFormat="1" ht="12" x14ac:dyDescent="0.2">
      <c r="A184" s="73" t="s">
        <v>78</v>
      </c>
      <c r="B184" s="73" t="s">
        <v>343</v>
      </c>
      <c r="C184" s="74" t="s">
        <v>344</v>
      </c>
      <c r="D184" s="73" t="s">
        <v>81</v>
      </c>
      <c r="E184" s="75">
        <v>9.1999999999999993</v>
      </c>
      <c r="F184" s="75">
        <f t="shared" si="47"/>
        <v>356.72</v>
      </c>
      <c r="G184" s="75">
        <f t="shared" si="48"/>
        <v>455.14</v>
      </c>
      <c r="H184" s="76">
        <f t="shared" si="49"/>
        <v>4187.29</v>
      </c>
      <c r="I184" s="75"/>
      <c r="J184" s="75">
        <v>9.1999999999999993</v>
      </c>
      <c r="K184" s="75">
        <f t="shared" si="37"/>
        <v>0</v>
      </c>
      <c r="L184" s="76">
        <f t="shared" si="50"/>
        <v>3281.82</v>
      </c>
      <c r="M184" s="76">
        <f t="shared" si="51"/>
        <v>0</v>
      </c>
      <c r="N184" s="76">
        <f t="shared" si="52"/>
        <v>4187.2879999999996</v>
      </c>
      <c r="O184" s="76">
        <f t="shared" si="53"/>
        <v>2.0000000004074536E-3</v>
      </c>
      <c r="P184" s="90">
        <f t="shared" si="46"/>
        <v>0.9999995223641065</v>
      </c>
      <c r="Q184" s="51"/>
      <c r="T184" s="53">
        <v>356.72</v>
      </c>
    </row>
    <row r="185" spans="1:20" s="56" customFormat="1" ht="12" x14ac:dyDescent="0.2">
      <c r="A185" s="73" t="s">
        <v>345</v>
      </c>
      <c r="B185" s="73" t="s">
        <v>346</v>
      </c>
      <c r="C185" s="74" t="s">
        <v>347</v>
      </c>
      <c r="D185" s="73" t="s">
        <v>102</v>
      </c>
      <c r="E185" s="75">
        <v>3</v>
      </c>
      <c r="F185" s="75">
        <f t="shared" si="47"/>
        <v>2030.45</v>
      </c>
      <c r="G185" s="75">
        <f t="shared" si="48"/>
        <v>2590.65</v>
      </c>
      <c r="H185" s="76">
        <f t="shared" si="49"/>
        <v>7771.95</v>
      </c>
      <c r="I185" s="75"/>
      <c r="J185" s="75">
        <v>3</v>
      </c>
      <c r="K185" s="75">
        <f t="shared" si="37"/>
        <v>0</v>
      </c>
      <c r="L185" s="76">
        <f t="shared" si="50"/>
        <v>6091.35</v>
      </c>
      <c r="M185" s="76">
        <f t="shared" si="51"/>
        <v>0</v>
      </c>
      <c r="N185" s="76">
        <f t="shared" si="52"/>
        <v>7771.9500000000007</v>
      </c>
      <c r="O185" s="76">
        <f t="shared" si="53"/>
        <v>0</v>
      </c>
      <c r="P185" s="90">
        <f t="shared" si="46"/>
        <v>1.0000000000000002</v>
      </c>
      <c r="Q185" s="51"/>
      <c r="T185" s="51">
        <v>2030.45</v>
      </c>
    </row>
    <row r="186" spans="1:20" s="56" customFormat="1" ht="12" x14ac:dyDescent="0.2">
      <c r="A186" s="73" t="s">
        <v>308</v>
      </c>
      <c r="B186" s="73" t="s">
        <v>348</v>
      </c>
      <c r="C186" s="74" t="s">
        <v>349</v>
      </c>
      <c r="D186" s="73" t="s">
        <v>102</v>
      </c>
      <c r="E186" s="75">
        <v>2</v>
      </c>
      <c r="F186" s="75">
        <f t="shared" si="47"/>
        <v>415</v>
      </c>
      <c r="G186" s="75">
        <f t="shared" si="48"/>
        <v>529.5</v>
      </c>
      <c r="H186" s="76">
        <f t="shared" si="49"/>
        <v>1059</v>
      </c>
      <c r="I186" s="75">
        <v>2</v>
      </c>
      <c r="J186" s="75">
        <f>I186</f>
        <v>2</v>
      </c>
      <c r="K186" s="75">
        <f t="shared" si="37"/>
        <v>0</v>
      </c>
      <c r="L186" s="76">
        <f t="shared" si="50"/>
        <v>830</v>
      </c>
      <c r="M186" s="76">
        <f t="shared" si="51"/>
        <v>1059</v>
      </c>
      <c r="N186" s="76">
        <f t="shared" si="52"/>
        <v>1059</v>
      </c>
      <c r="O186" s="76">
        <f t="shared" si="53"/>
        <v>0</v>
      </c>
      <c r="P186" s="90">
        <f t="shared" si="46"/>
        <v>1</v>
      </c>
      <c r="Q186" s="51"/>
      <c r="T186" s="53">
        <v>415</v>
      </c>
    </row>
    <row r="187" spans="1:20" s="56" customFormat="1" ht="12" x14ac:dyDescent="0.2">
      <c r="A187" s="73" t="s">
        <v>308</v>
      </c>
      <c r="B187" s="73" t="s">
        <v>350</v>
      </c>
      <c r="C187" s="74" t="s">
        <v>351</v>
      </c>
      <c r="D187" s="73" t="s">
        <v>102</v>
      </c>
      <c r="E187" s="75">
        <v>1</v>
      </c>
      <c r="F187" s="75">
        <f t="shared" si="47"/>
        <v>63.04</v>
      </c>
      <c r="G187" s="75">
        <f t="shared" si="48"/>
        <v>80.430000000000007</v>
      </c>
      <c r="H187" s="76">
        <f t="shared" si="49"/>
        <v>80.430000000000007</v>
      </c>
      <c r="I187" s="75"/>
      <c r="J187" s="75">
        <v>1</v>
      </c>
      <c r="K187" s="75">
        <f t="shared" si="37"/>
        <v>0</v>
      </c>
      <c r="L187" s="76">
        <f t="shared" si="50"/>
        <v>63.04</v>
      </c>
      <c r="M187" s="76">
        <f t="shared" si="51"/>
        <v>0</v>
      </c>
      <c r="N187" s="76">
        <f t="shared" si="52"/>
        <v>80.430000000000007</v>
      </c>
      <c r="O187" s="76">
        <f t="shared" si="53"/>
        <v>0</v>
      </c>
      <c r="P187" s="90">
        <f t="shared" si="46"/>
        <v>1</v>
      </c>
      <c r="Q187" s="51"/>
      <c r="T187" s="53">
        <v>63.04</v>
      </c>
    </row>
    <row r="188" spans="1:20" s="56" customFormat="1" ht="12" x14ac:dyDescent="0.2">
      <c r="A188" s="72"/>
      <c r="B188" s="71"/>
      <c r="C188" s="71"/>
      <c r="D188" s="71"/>
      <c r="E188" s="71"/>
      <c r="F188" s="75"/>
      <c r="G188" s="77" t="s">
        <v>1400</v>
      </c>
      <c r="H188" s="78">
        <f>SUM(H167:H187)</f>
        <v>91288.63999999997</v>
      </c>
      <c r="I188" s="71"/>
      <c r="J188" s="75"/>
      <c r="K188" s="75"/>
      <c r="L188" s="78">
        <f>SUM(L167:L187)</f>
        <v>71549.06</v>
      </c>
      <c r="M188" s="78">
        <f>SUM(M167:M187)</f>
        <v>5528.56</v>
      </c>
      <c r="N188" s="78">
        <f>SUM(N167:N187)</f>
        <v>91288.629199999996</v>
      </c>
      <c r="O188" s="78">
        <f>SUM(O167:O187)</f>
        <v>1.079999999865322E-2</v>
      </c>
      <c r="P188" s="91">
        <f>N188/H188</f>
        <v>0.99999988169393283</v>
      </c>
      <c r="Q188" s="60"/>
      <c r="R188" s="58"/>
      <c r="T188" s="59"/>
    </row>
    <row r="189" spans="1:20" s="56" customFormat="1" ht="12" x14ac:dyDescent="0.2">
      <c r="A189" s="72"/>
      <c r="B189" s="70" t="s">
        <v>353</v>
      </c>
      <c r="C189" s="71" t="s">
        <v>354</v>
      </c>
      <c r="D189" s="72"/>
      <c r="E189" s="72"/>
      <c r="F189" s="75"/>
      <c r="G189" s="72"/>
      <c r="H189" s="72"/>
      <c r="I189" s="72"/>
      <c r="J189" s="75"/>
      <c r="K189" s="75"/>
      <c r="L189" s="72"/>
      <c r="M189" s="72"/>
      <c r="N189" s="72"/>
      <c r="O189" s="72"/>
      <c r="P189" s="72"/>
      <c r="Q189" s="52"/>
      <c r="T189" s="52"/>
    </row>
    <row r="190" spans="1:20" s="56" customFormat="1" ht="12" x14ac:dyDescent="0.2">
      <c r="A190" s="72"/>
      <c r="B190" s="70" t="s">
        <v>355</v>
      </c>
      <c r="C190" s="71" t="s">
        <v>356</v>
      </c>
      <c r="D190" s="72"/>
      <c r="E190" s="72"/>
      <c r="F190" s="75"/>
      <c r="G190" s="72"/>
      <c r="H190" s="72"/>
      <c r="I190" s="72"/>
      <c r="J190" s="75"/>
      <c r="K190" s="75"/>
      <c r="L190" s="72"/>
      <c r="M190" s="72"/>
      <c r="N190" s="72"/>
      <c r="O190" s="72"/>
      <c r="P190" s="72"/>
      <c r="Q190" s="52"/>
      <c r="T190" s="52"/>
    </row>
    <row r="191" spans="1:20" s="56" customFormat="1" ht="12" x14ac:dyDescent="0.2">
      <c r="A191" s="72"/>
      <c r="B191" s="81">
        <v>41640</v>
      </c>
      <c r="C191" s="71" t="s">
        <v>357</v>
      </c>
      <c r="D191" s="72"/>
      <c r="E191" s="72"/>
      <c r="F191" s="75"/>
      <c r="G191" s="72"/>
      <c r="H191" s="72"/>
      <c r="I191" s="72"/>
      <c r="J191" s="75"/>
      <c r="K191" s="75"/>
      <c r="L191" s="72"/>
      <c r="M191" s="72"/>
      <c r="N191" s="72"/>
      <c r="O191" s="72"/>
      <c r="P191" s="72"/>
      <c r="Q191" s="52"/>
      <c r="T191" s="52"/>
    </row>
    <row r="192" spans="1:20" s="56" customFormat="1" ht="12" x14ac:dyDescent="0.2">
      <c r="A192" s="73" t="s">
        <v>358</v>
      </c>
      <c r="B192" s="73" t="s">
        <v>359</v>
      </c>
      <c r="C192" s="74" t="s">
        <v>360</v>
      </c>
      <c r="D192" s="73" t="s">
        <v>81</v>
      </c>
      <c r="E192" s="75">
        <v>172</v>
      </c>
      <c r="F192" s="75">
        <f>ROUND(T192*$T$10,2)</f>
        <v>11.27</v>
      </c>
      <c r="G192" s="75">
        <f>ROUND(F192*(1+$U$1),2)</f>
        <v>14.38</v>
      </c>
      <c r="H192" s="76">
        <f>ROUND(E192*G192,2)</f>
        <v>2473.36</v>
      </c>
      <c r="I192" s="75"/>
      <c r="J192" s="75">
        <v>172</v>
      </c>
      <c r="K192" s="75">
        <f t="shared" ref="K192:K253" si="55">E192-J192</f>
        <v>0</v>
      </c>
      <c r="L192" s="76">
        <f>ROUND(E192*F192,2)</f>
        <v>1938.44</v>
      </c>
      <c r="M192" s="76">
        <f>I192*G192</f>
        <v>0</v>
      </c>
      <c r="N192" s="76">
        <f>J192*G192</f>
        <v>2473.36</v>
      </c>
      <c r="O192" s="76">
        <f>H192-N192</f>
        <v>0</v>
      </c>
      <c r="P192" s="90">
        <f t="shared" ref="P192:P254" si="56">N192/H192</f>
        <v>1</v>
      </c>
      <c r="Q192" s="51"/>
      <c r="T192" s="53">
        <v>11.27</v>
      </c>
    </row>
    <row r="193" spans="1:20" s="56" customFormat="1" ht="12" x14ac:dyDescent="0.2">
      <c r="A193" s="73" t="s">
        <v>361</v>
      </c>
      <c r="B193" s="73" t="s">
        <v>362</v>
      </c>
      <c r="C193" s="74" t="s">
        <v>363</v>
      </c>
      <c r="D193" s="73" t="s">
        <v>81</v>
      </c>
      <c r="E193" s="75">
        <v>169</v>
      </c>
      <c r="F193" s="75">
        <f>ROUND(T193*$T$10,2)</f>
        <v>11.89</v>
      </c>
      <c r="G193" s="75">
        <f>ROUND(F193*(1+$U$1),2)</f>
        <v>15.17</v>
      </c>
      <c r="H193" s="76">
        <f>ROUND(E193*G193,2)</f>
        <v>2563.73</v>
      </c>
      <c r="I193" s="75"/>
      <c r="J193" s="75">
        <v>169</v>
      </c>
      <c r="K193" s="75">
        <f t="shared" si="55"/>
        <v>0</v>
      </c>
      <c r="L193" s="76">
        <f>ROUND(E193*F193,2)</f>
        <v>2009.41</v>
      </c>
      <c r="M193" s="76">
        <f>I193*G193</f>
        <v>0</v>
      </c>
      <c r="N193" s="76">
        <f>J193*G193</f>
        <v>2563.73</v>
      </c>
      <c r="O193" s="76">
        <f>H193-N193</f>
        <v>0</v>
      </c>
      <c r="P193" s="90">
        <f t="shared" si="56"/>
        <v>1</v>
      </c>
      <c r="Q193" s="51"/>
      <c r="T193" s="53">
        <v>11.89</v>
      </c>
    </row>
    <row r="194" spans="1:20" s="56" customFormat="1" ht="12" x14ac:dyDescent="0.2">
      <c r="A194" s="73" t="s">
        <v>364</v>
      </c>
      <c r="B194" s="73" t="s">
        <v>365</v>
      </c>
      <c r="C194" s="74" t="s">
        <v>366</v>
      </c>
      <c r="D194" s="73" t="s">
        <v>81</v>
      </c>
      <c r="E194" s="75">
        <v>66</v>
      </c>
      <c r="F194" s="75">
        <f>ROUND(T194*$T$10,2)</f>
        <v>28.56</v>
      </c>
      <c r="G194" s="75">
        <f>ROUND(F194*(1+$U$1),2)</f>
        <v>36.44</v>
      </c>
      <c r="H194" s="76">
        <f>ROUND(E194*G194,2)</f>
        <v>2405.04</v>
      </c>
      <c r="I194" s="75"/>
      <c r="J194" s="75">
        <v>66</v>
      </c>
      <c r="K194" s="75">
        <f t="shared" si="55"/>
        <v>0</v>
      </c>
      <c r="L194" s="76">
        <f>ROUND(E194*F194,2)</f>
        <v>1884.96</v>
      </c>
      <c r="M194" s="76">
        <f>I194*G194</f>
        <v>0</v>
      </c>
      <c r="N194" s="76">
        <f>J194*G194</f>
        <v>2405.04</v>
      </c>
      <c r="O194" s="76">
        <f>H194-N194</f>
        <v>0</v>
      </c>
      <c r="P194" s="90">
        <f t="shared" si="56"/>
        <v>1</v>
      </c>
      <c r="Q194" s="51"/>
      <c r="T194" s="53">
        <v>28.56</v>
      </c>
    </row>
    <row r="195" spans="1:20" s="56" customFormat="1" ht="12" x14ac:dyDescent="0.2">
      <c r="A195" s="73" t="s">
        <v>367</v>
      </c>
      <c r="B195" s="73" t="s">
        <v>368</v>
      </c>
      <c r="C195" s="74" t="s">
        <v>369</v>
      </c>
      <c r="D195" s="73" t="s">
        <v>81</v>
      </c>
      <c r="E195" s="75">
        <v>39</v>
      </c>
      <c r="F195" s="75">
        <f>ROUND(T195*$T$10,2)</f>
        <v>35.53</v>
      </c>
      <c r="G195" s="75">
        <f>ROUND(F195*(1+$U$1),2)</f>
        <v>45.33</v>
      </c>
      <c r="H195" s="76">
        <f>ROUND(E195*G195,2)</f>
        <v>1767.87</v>
      </c>
      <c r="I195" s="75"/>
      <c r="J195" s="75">
        <v>39</v>
      </c>
      <c r="K195" s="75">
        <f t="shared" si="55"/>
        <v>0</v>
      </c>
      <c r="L195" s="76">
        <f>ROUND(E195*F195,2)</f>
        <v>1385.67</v>
      </c>
      <c r="M195" s="76">
        <f>I195*G195</f>
        <v>0</v>
      </c>
      <c r="N195" s="76">
        <f>J195*G195</f>
        <v>1767.87</v>
      </c>
      <c r="O195" s="76">
        <f>H195-N195</f>
        <v>0</v>
      </c>
      <c r="P195" s="90">
        <f t="shared" si="56"/>
        <v>1</v>
      </c>
      <c r="Q195" s="51"/>
      <c r="T195" s="53">
        <v>35.53</v>
      </c>
    </row>
    <row r="196" spans="1:20" s="56" customFormat="1" ht="12" x14ac:dyDescent="0.2">
      <c r="A196" s="73" t="s">
        <v>370</v>
      </c>
      <c r="B196" s="73" t="s">
        <v>371</v>
      </c>
      <c r="C196" s="74" t="s">
        <v>372</v>
      </c>
      <c r="D196" s="73" t="s">
        <v>81</v>
      </c>
      <c r="E196" s="75">
        <v>87</v>
      </c>
      <c r="F196" s="75">
        <f>ROUND(T196*$T$10,2)</f>
        <v>47.11</v>
      </c>
      <c r="G196" s="75">
        <f>ROUND(F196*(1+$U$1),2)</f>
        <v>60.11</v>
      </c>
      <c r="H196" s="76">
        <f>ROUND(E196*G196,2)</f>
        <v>5229.57</v>
      </c>
      <c r="I196" s="75"/>
      <c r="J196" s="75">
        <v>87</v>
      </c>
      <c r="K196" s="75">
        <f t="shared" si="55"/>
        <v>0</v>
      </c>
      <c r="L196" s="76">
        <f>ROUND(E196*F196,2)</f>
        <v>4098.57</v>
      </c>
      <c r="M196" s="76">
        <f>I196*G196</f>
        <v>0</v>
      </c>
      <c r="N196" s="76">
        <f>J196*G196</f>
        <v>5229.57</v>
      </c>
      <c r="O196" s="76">
        <f>H196-N196</f>
        <v>0</v>
      </c>
      <c r="P196" s="90">
        <f t="shared" si="56"/>
        <v>1</v>
      </c>
      <c r="Q196" s="51"/>
      <c r="T196" s="53">
        <v>47.11</v>
      </c>
    </row>
    <row r="197" spans="1:20" s="56" customFormat="1" ht="12" x14ac:dyDescent="0.2">
      <c r="A197" s="72"/>
      <c r="B197" s="81">
        <v>41641</v>
      </c>
      <c r="C197" s="71" t="s">
        <v>373</v>
      </c>
      <c r="D197" s="72"/>
      <c r="E197" s="72"/>
      <c r="F197" s="75"/>
      <c r="G197" s="72"/>
      <c r="H197" s="72"/>
      <c r="I197" s="72"/>
      <c r="J197" s="75"/>
      <c r="K197" s="75"/>
      <c r="L197" s="72"/>
      <c r="M197" s="72"/>
      <c r="N197" s="72"/>
      <c r="O197" s="72"/>
      <c r="P197" s="90"/>
      <c r="Q197" s="52"/>
      <c r="T197" s="52"/>
    </row>
    <row r="198" spans="1:20" s="56" customFormat="1" ht="24" x14ac:dyDescent="0.2">
      <c r="A198" s="94">
        <v>89383</v>
      </c>
      <c r="B198" s="73" t="s">
        <v>374</v>
      </c>
      <c r="C198" s="74" t="s">
        <v>375</v>
      </c>
      <c r="D198" s="73" t="s">
        <v>102</v>
      </c>
      <c r="E198" s="75">
        <v>125</v>
      </c>
      <c r="F198" s="75">
        <f t="shared" ref="F198:F205" si="57">ROUND(T198*$T$10,2)</f>
        <v>5.09</v>
      </c>
      <c r="G198" s="75">
        <f t="shared" ref="G198:G205" si="58">ROUND(F198*(1+$U$1),2)</f>
        <v>6.49</v>
      </c>
      <c r="H198" s="76">
        <f t="shared" ref="H198:H205" si="59">ROUND(E198*G198,2)</f>
        <v>811.25</v>
      </c>
      <c r="I198" s="75"/>
      <c r="J198" s="75">
        <v>125</v>
      </c>
      <c r="K198" s="75">
        <f t="shared" si="55"/>
        <v>0</v>
      </c>
      <c r="L198" s="76">
        <f t="shared" ref="L198:L205" si="60">ROUND(E198*F198,2)</f>
        <v>636.25</v>
      </c>
      <c r="M198" s="76">
        <f t="shared" ref="M198:M205" si="61">I198*G198</f>
        <v>0</v>
      </c>
      <c r="N198" s="76">
        <f t="shared" ref="N198:N205" si="62">J198*G198</f>
        <v>811.25</v>
      </c>
      <c r="O198" s="76">
        <f t="shared" ref="O198:O205" si="63">H198-N198</f>
        <v>0</v>
      </c>
      <c r="P198" s="90">
        <f t="shared" si="56"/>
        <v>1</v>
      </c>
      <c r="Q198" s="51"/>
      <c r="T198" s="53">
        <v>5.09</v>
      </c>
    </row>
    <row r="199" spans="1:20" s="56" customFormat="1" ht="24" x14ac:dyDescent="0.2">
      <c r="A199" s="94">
        <v>89391</v>
      </c>
      <c r="B199" s="73" t="s">
        <v>376</v>
      </c>
      <c r="C199" s="74" t="s">
        <v>377</v>
      </c>
      <c r="D199" s="73" t="s">
        <v>102</v>
      </c>
      <c r="E199" s="75">
        <v>30</v>
      </c>
      <c r="F199" s="75">
        <f t="shared" si="57"/>
        <v>6.77</v>
      </c>
      <c r="G199" s="75">
        <f t="shared" si="58"/>
        <v>8.64</v>
      </c>
      <c r="H199" s="76">
        <f t="shared" si="59"/>
        <v>259.2</v>
      </c>
      <c r="I199" s="75"/>
      <c r="J199" s="75">
        <v>30</v>
      </c>
      <c r="K199" s="75">
        <f t="shared" si="55"/>
        <v>0</v>
      </c>
      <c r="L199" s="76">
        <f t="shared" si="60"/>
        <v>203.1</v>
      </c>
      <c r="M199" s="76">
        <f t="shared" si="61"/>
        <v>0</v>
      </c>
      <c r="N199" s="76">
        <f t="shared" si="62"/>
        <v>259.20000000000005</v>
      </c>
      <c r="O199" s="76">
        <f t="shared" si="63"/>
        <v>0</v>
      </c>
      <c r="P199" s="90">
        <f t="shared" si="56"/>
        <v>1.0000000000000002</v>
      </c>
      <c r="Q199" s="51"/>
      <c r="T199" s="53">
        <v>6.77</v>
      </c>
    </row>
    <row r="200" spans="1:20" s="56" customFormat="1" ht="24" x14ac:dyDescent="0.2">
      <c r="A200" s="94">
        <v>89595</v>
      </c>
      <c r="B200" s="73" t="s">
        <v>378</v>
      </c>
      <c r="C200" s="74" t="s">
        <v>379</v>
      </c>
      <c r="D200" s="73" t="s">
        <v>102</v>
      </c>
      <c r="E200" s="75">
        <v>30</v>
      </c>
      <c r="F200" s="75">
        <f t="shared" si="57"/>
        <v>10.76</v>
      </c>
      <c r="G200" s="75">
        <f t="shared" si="58"/>
        <v>13.73</v>
      </c>
      <c r="H200" s="76">
        <f t="shared" si="59"/>
        <v>411.9</v>
      </c>
      <c r="I200" s="75"/>
      <c r="J200" s="75">
        <v>30</v>
      </c>
      <c r="K200" s="75">
        <f t="shared" si="55"/>
        <v>0</v>
      </c>
      <c r="L200" s="76">
        <f t="shared" si="60"/>
        <v>322.8</v>
      </c>
      <c r="M200" s="76">
        <f t="shared" si="61"/>
        <v>0</v>
      </c>
      <c r="N200" s="76">
        <f t="shared" si="62"/>
        <v>411.90000000000003</v>
      </c>
      <c r="O200" s="76">
        <f t="shared" si="63"/>
        <v>0</v>
      </c>
      <c r="P200" s="90">
        <f t="shared" si="56"/>
        <v>1.0000000000000002</v>
      </c>
      <c r="Q200" s="51"/>
      <c r="T200" s="53">
        <v>10.76</v>
      </c>
    </row>
    <row r="201" spans="1:20" s="56" customFormat="1" ht="24" x14ac:dyDescent="0.2">
      <c r="A201" s="94">
        <v>94668</v>
      </c>
      <c r="B201" s="73" t="s">
        <v>380</v>
      </c>
      <c r="C201" s="74" t="s">
        <v>381</v>
      </c>
      <c r="D201" s="73" t="s">
        <v>102</v>
      </c>
      <c r="E201" s="75">
        <v>11</v>
      </c>
      <c r="F201" s="75">
        <f t="shared" si="57"/>
        <v>42.01</v>
      </c>
      <c r="G201" s="75">
        <f t="shared" si="58"/>
        <v>53.6</v>
      </c>
      <c r="H201" s="76">
        <f t="shared" si="59"/>
        <v>589.6</v>
      </c>
      <c r="I201" s="75"/>
      <c r="J201" s="75">
        <v>11</v>
      </c>
      <c r="K201" s="75">
        <f t="shared" si="55"/>
        <v>0</v>
      </c>
      <c r="L201" s="76">
        <f t="shared" si="60"/>
        <v>462.11</v>
      </c>
      <c r="M201" s="76">
        <f t="shared" si="61"/>
        <v>0</v>
      </c>
      <c r="N201" s="76">
        <f t="shared" si="62"/>
        <v>589.6</v>
      </c>
      <c r="O201" s="76">
        <f t="shared" si="63"/>
        <v>0</v>
      </c>
      <c r="P201" s="90">
        <f t="shared" si="56"/>
        <v>1</v>
      </c>
      <c r="Q201" s="51"/>
      <c r="T201" s="53">
        <v>42.01</v>
      </c>
    </row>
    <row r="202" spans="1:20" s="56" customFormat="1" ht="12" x14ac:dyDescent="0.2">
      <c r="A202" s="94">
        <v>94708</v>
      </c>
      <c r="B202" s="73" t="s">
        <v>382</v>
      </c>
      <c r="C202" s="74" t="s">
        <v>383</v>
      </c>
      <c r="D202" s="73" t="s">
        <v>102</v>
      </c>
      <c r="E202" s="75">
        <v>1</v>
      </c>
      <c r="F202" s="75">
        <f t="shared" si="57"/>
        <v>19.79</v>
      </c>
      <c r="G202" s="75">
        <f t="shared" si="58"/>
        <v>25.25</v>
      </c>
      <c r="H202" s="76">
        <f t="shared" si="59"/>
        <v>25.25</v>
      </c>
      <c r="I202" s="75"/>
      <c r="J202" s="75">
        <v>1</v>
      </c>
      <c r="K202" s="75">
        <f t="shared" si="55"/>
        <v>0</v>
      </c>
      <c r="L202" s="76">
        <f t="shared" si="60"/>
        <v>19.79</v>
      </c>
      <c r="M202" s="76">
        <f t="shared" si="61"/>
        <v>0</v>
      </c>
      <c r="N202" s="76">
        <f t="shared" si="62"/>
        <v>25.25</v>
      </c>
      <c r="O202" s="76">
        <f t="shared" si="63"/>
        <v>0</v>
      </c>
      <c r="P202" s="90">
        <f t="shared" si="56"/>
        <v>1</v>
      </c>
      <c r="Q202" s="51"/>
      <c r="T202" s="53">
        <v>19.79</v>
      </c>
    </row>
    <row r="203" spans="1:20" s="56" customFormat="1" ht="12" x14ac:dyDescent="0.2">
      <c r="A203" s="94">
        <v>94709</v>
      </c>
      <c r="B203" s="73" t="s">
        <v>384</v>
      </c>
      <c r="C203" s="74" t="s">
        <v>385</v>
      </c>
      <c r="D203" s="73" t="s">
        <v>102</v>
      </c>
      <c r="E203" s="75">
        <v>1</v>
      </c>
      <c r="F203" s="75">
        <f t="shared" si="57"/>
        <v>23.32</v>
      </c>
      <c r="G203" s="75">
        <f t="shared" si="58"/>
        <v>29.75</v>
      </c>
      <c r="H203" s="76">
        <f t="shared" si="59"/>
        <v>29.75</v>
      </c>
      <c r="I203" s="75"/>
      <c r="J203" s="75">
        <v>1</v>
      </c>
      <c r="K203" s="75">
        <f t="shared" si="55"/>
        <v>0</v>
      </c>
      <c r="L203" s="76">
        <f t="shared" si="60"/>
        <v>23.32</v>
      </c>
      <c r="M203" s="76">
        <f t="shared" si="61"/>
        <v>0</v>
      </c>
      <c r="N203" s="76">
        <f t="shared" si="62"/>
        <v>29.75</v>
      </c>
      <c r="O203" s="76">
        <f t="shared" si="63"/>
        <v>0</v>
      </c>
      <c r="P203" s="90">
        <f t="shared" si="56"/>
        <v>1</v>
      </c>
      <c r="Q203" s="51"/>
      <c r="T203" s="53">
        <v>23.32</v>
      </c>
    </row>
    <row r="204" spans="1:20" s="56" customFormat="1" ht="12" x14ac:dyDescent="0.2">
      <c r="A204" s="94">
        <v>94711</v>
      </c>
      <c r="B204" s="73" t="s">
        <v>386</v>
      </c>
      <c r="C204" s="74" t="s">
        <v>387</v>
      </c>
      <c r="D204" s="73" t="s">
        <v>102</v>
      </c>
      <c r="E204" s="75">
        <v>5</v>
      </c>
      <c r="F204" s="75">
        <f t="shared" si="57"/>
        <v>40.08</v>
      </c>
      <c r="G204" s="75">
        <f t="shared" si="58"/>
        <v>51.14</v>
      </c>
      <c r="H204" s="76">
        <f t="shared" si="59"/>
        <v>255.7</v>
      </c>
      <c r="I204" s="75"/>
      <c r="J204" s="75">
        <v>5</v>
      </c>
      <c r="K204" s="75">
        <f t="shared" si="55"/>
        <v>0</v>
      </c>
      <c r="L204" s="76">
        <f t="shared" si="60"/>
        <v>200.4</v>
      </c>
      <c r="M204" s="76">
        <f t="shared" si="61"/>
        <v>0</v>
      </c>
      <c r="N204" s="76">
        <f t="shared" si="62"/>
        <v>255.7</v>
      </c>
      <c r="O204" s="76">
        <f t="shared" si="63"/>
        <v>0</v>
      </c>
      <c r="P204" s="90">
        <f t="shared" si="56"/>
        <v>1</v>
      </c>
      <c r="Q204" s="51"/>
      <c r="T204" s="53">
        <v>40.08</v>
      </c>
    </row>
    <row r="205" spans="1:20" s="56" customFormat="1" ht="12" x14ac:dyDescent="0.2">
      <c r="A205" s="94">
        <v>94714</v>
      </c>
      <c r="B205" s="73" t="s">
        <v>388</v>
      </c>
      <c r="C205" s="74" t="s">
        <v>389</v>
      </c>
      <c r="D205" s="73" t="s">
        <v>102</v>
      </c>
      <c r="E205" s="75">
        <v>1</v>
      </c>
      <c r="F205" s="75">
        <f t="shared" si="57"/>
        <v>199.75</v>
      </c>
      <c r="G205" s="75">
        <f t="shared" si="58"/>
        <v>254.86</v>
      </c>
      <c r="H205" s="76">
        <f t="shared" si="59"/>
        <v>254.86</v>
      </c>
      <c r="I205" s="75"/>
      <c r="J205" s="75">
        <v>1</v>
      </c>
      <c r="K205" s="75">
        <f t="shared" si="55"/>
        <v>0</v>
      </c>
      <c r="L205" s="76">
        <f t="shared" si="60"/>
        <v>199.75</v>
      </c>
      <c r="M205" s="76">
        <f t="shared" si="61"/>
        <v>0</v>
      </c>
      <c r="N205" s="76">
        <f t="shared" si="62"/>
        <v>254.86</v>
      </c>
      <c r="O205" s="76">
        <f t="shared" si="63"/>
        <v>0</v>
      </c>
      <c r="P205" s="90">
        <f t="shared" si="56"/>
        <v>1</v>
      </c>
      <c r="Q205" s="51"/>
      <c r="T205" s="53">
        <v>199.75</v>
      </c>
    </row>
    <row r="206" spans="1:20" s="56" customFormat="1" ht="12" x14ac:dyDescent="0.2">
      <c r="A206" s="72"/>
      <c r="B206" s="81">
        <v>41642</v>
      </c>
      <c r="C206" s="71" t="s">
        <v>390</v>
      </c>
      <c r="D206" s="72"/>
      <c r="E206" s="72"/>
      <c r="F206" s="75"/>
      <c r="G206" s="72"/>
      <c r="H206" s="72"/>
      <c r="I206" s="72"/>
      <c r="J206" s="75"/>
      <c r="K206" s="75"/>
      <c r="L206" s="72"/>
      <c r="M206" s="72"/>
      <c r="N206" s="72"/>
      <c r="O206" s="72"/>
      <c r="P206" s="90"/>
      <c r="Q206" s="52"/>
      <c r="T206" s="52"/>
    </row>
    <row r="207" spans="1:20" s="56" customFormat="1" ht="12" x14ac:dyDescent="0.2">
      <c r="A207" s="73" t="s">
        <v>391</v>
      </c>
      <c r="B207" s="73" t="s">
        <v>392</v>
      </c>
      <c r="C207" s="74" t="s">
        <v>393</v>
      </c>
      <c r="D207" s="73" t="s">
        <v>102</v>
      </c>
      <c r="E207" s="75">
        <v>13</v>
      </c>
      <c r="F207" s="75">
        <f t="shared" ref="F207:F213" si="64">ROUND(T207*$T$10,2)</f>
        <v>3.37</v>
      </c>
      <c r="G207" s="75">
        <f t="shared" ref="G207:G213" si="65">ROUND(F207*(1+$U$1),2)</f>
        <v>4.3</v>
      </c>
      <c r="H207" s="76">
        <f t="shared" ref="H207:H213" si="66">ROUND(E207*G207,2)</f>
        <v>55.9</v>
      </c>
      <c r="I207" s="75"/>
      <c r="J207" s="75">
        <v>13</v>
      </c>
      <c r="K207" s="75">
        <f t="shared" si="55"/>
        <v>0</v>
      </c>
      <c r="L207" s="76">
        <f t="shared" ref="L207:L213" si="67">ROUND(E207*F207,2)</f>
        <v>43.81</v>
      </c>
      <c r="M207" s="76">
        <f t="shared" ref="M207:M253" si="68">I207*G207</f>
        <v>0</v>
      </c>
      <c r="N207" s="76">
        <f t="shared" ref="N207:N253" si="69">J207*G207</f>
        <v>55.9</v>
      </c>
      <c r="O207" s="76">
        <f t="shared" ref="O207:O253" si="70">H207-N207</f>
        <v>0</v>
      </c>
      <c r="P207" s="90">
        <f t="shared" si="56"/>
        <v>1</v>
      </c>
      <c r="Q207" s="51"/>
      <c r="T207" s="53">
        <v>3.37</v>
      </c>
    </row>
    <row r="208" spans="1:20" s="56" customFormat="1" ht="12" x14ac:dyDescent="0.2">
      <c r="A208" s="73" t="s">
        <v>394</v>
      </c>
      <c r="B208" s="73" t="s">
        <v>395</v>
      </c>
      <c r="C208" s="74" t="s">
        <v>396</v>
      </c>
      <c r="D208" s="73" t="s">
        <v>102</v>
      </c>
      <c r="E208" s="75">
        <v>4</v>
      </c>
      <c r="F208" s="75">
        <f t="shared" si="64"/>
        <v>10.220000000000001</v>
      </c>
      <c r="G208" s="75">
        <f t="shared" si="65"/>
        <v>13.04</v>
      </c>
      <c r="H208" s="76">
        <f t="shared" si="66"/>
        <v>52.16</v>
      </c>
      <c r="I208" s="75"/>
      <c r="J208" s="75">
        <v>4</v>
      </c>
      <c r="K208" s="75">
        <f t="shared" si="55"/>
        <v>0</v>
      </c>
      <c r="L208" s="76">
        <f t="shared" si="67"/>
        <v>40.880000000000003</v>
      </c>
      <c r="M208" s="76">
        <f t="shared" si="68"/>
        <v>0</v>
      </c>
      <c r="N208" s="76">
        <f t="shared" si="69"/>
        <v>52.16</v>
      </c>
      <c r="O208" s="76">
        <f t="shared" si="70"/>
        <v>0</v>
      </c>
      <c r="P208" s="90">
        <f t="shared" si="56"/>
        <v>1</v>
      </c>
      <c r="Q208" s="51"/>
      <c r="T208" s="53">
        <v>10.220000000000001</v>
      </c>
    </row>
    <row r="209" spans="1:20" s="56" customFormat="1" ht="12" x14ac:dyDescent="0.2">
      <c r="A209" s="73" t="s">
        <v>397</v>
      </c>
      <c r="B209" s="73" t="s">
        <v>398</v>
      </c>
      <c r="C209" s="74" t="s">
        <v>399</v>
      </c>
      <c r="D209" s="73" t="s">
        <v>102</v>
      </c>
      <c r="E209" s="75">
        <v>2</v>
      </c>
      <c r="F209" s="75">
        <f t="shared" si="64"/>
        <v>10.91</v>
      </c>
      <c r="G209" s="75">
        <f t="shared" si="65"/>
        <v>13.92</v>
      </c>
      <c r="H209" s="76">
        <f t="shared" si="66"/>
        <v>27.84</v>
      </c>
      <c r="I209" s="75"/>
      <c r="J209" s="75">
        <v>2</v>
      </c>
      <c r="K209" s="75">
        <f t="shared" si="55"/>
        <v>0</v>
      </c>
      <c r="L209" s="76">
        <f t="shared" si="67"/>
        <v>21.82</v>
      </c>
      <c r="M209" s="76">
        <f t="shared" si="68"/>
        <v>0</v>
      </c>
      <c r="N209" s="76">
        <f t="shared" si="69"/>
        <v>27.84</v>
      </c>
      <c r="O209" s="76">
        <f t="shared" si="70"/>
        <v>0</v>
      </c>
      <c r="P209" s="90">
        <f t="shared" si="56"/>
        <v>1</v>
      </c>
      <c r="Q209" s="51"/>
      <c r="T209" s="53">
        <v>10.91</v>
      </c>
    </row>
    <row r="210" spans="1:20" s="56" customFormat="1" ht="12" x14ac:dyDescent="0.2">
      <c r="A210" s="73" t="s">
        <v>400</v>
      </c>
      <c r="B210" s="73" t="s">
        <v>401</v>
      </c>
      <c r="C210" s="74" t="s">
        <v>402</v>
      </c>
      <c r="D210" s="73" t="s">
        <v>102</v>
      </c>
      <c r="E210" s="75">
        <v>5</v>
      </c>
      <c r="F210" s="75">
        <f t="shared" si="64"/>
        <v>13.18</v>
      </c>
      <c r="G210" s="75">
        <f t="shared" si="65"/>
        <v>16.82</v>
      </c>
      <c r="H210" s="76">
        <f t="shared" si="66"/>
        <v>84.1</v>
      </c>
      <c r="I210" s="75"/>
      <c r="J210" s="75">
        <v>5</v>
      </c>
      <c r="K210" s="75">
        <f t="shared" si="55"/>
        <v>0</v>
      </c>
      <c r="L210" s="76">
        <f t="shared" si="67"/>
        <v>65.900000000000006</v>
      </c>
      <c r="M210" s="76">
        <f t="shared" si="68"/>
        <v>0</v>
      </c>
      <c r="N210" s="76">
        <f t="shared" si="69"/>
        <v>84.1</v>
      </c>
      <c r="O210" s="76">
        <f t="shared" si="70"/>
        <v>0</v>
      </c>
      <c r="P210" s="90">
        <f t="shared" si="56"/>
        <v>1</v>
      </c>
      <c r="Q210" s="51"/>
      <c r="T210" s="53">
        <v>13.18</v>
      </c>
    </row>
    <row r="211" spans="1:20" s="56" customFormat="1" ht="12" x14ac:dyDescent="0.2">
      <c r="A211" s="73" t="s">
        <v>403</v>
      </c>
      <c r="B211" s="73" t="s">
        <v>404</v>
      </c>
      <c r="C211" s="74" t="s">
        <v>405</v>
      </c>
      <c r="D211" s="73" t="s">
        <v>102</v>
      </c>
      <c r="E211" s="75">
        <v>11</v>
      </c>
      <c r="F211" s="75">
        <f t="shared" si="64"/>
        <v>12.73</v>
      </c>
      <c r="G211" s="75">
        <f t="shared" si="65"/>
        <v>16.239999999999998</v>
      </c>
      <c r="H211" s="76">
        <f t="shared" si="66"/>
        <v>178.64</v>
      </c>
      <c r="I211" s="75"/>
      <c r="J211" s="75">
        <v>11</v>
      </c>
      <c r="K211" s="75">
        <f t="shared" si="55"/>
        <v>0</v>
      </c>
      <c r="L211" s="76">
        <f t="shared" si="67"/>
        <v>140.03</v>
      </c>
      <c r="M211" s="76">
        <f t="shared" si="68"/>
        <v>0</v>
      </c>
      <c r="N211" s="76">
        <f t="shared" si="69"/>
        <v>178.64</v>
      </c>
      <c r="O211" s="76">
        <f t="shared" si="70"/>
        <v>0</v>
      </c>
      <c r="P211" s="90">
        <f t="shared" si="56"/>
        <v>1</v>
      </c>
      <c r="Q211" s="51"/>
      <c r="T211" s="53">
        <v>12.73</v>
      </c>
    </row>
    <row r="212" spans="1:20" s="56" customFormat="1" ht="12" x14ac:dyDescent="0.2">
      <c r="A212" s="73" t="s">
        <v>406</v>
      </c>
      <c r="B212" s="73" t="s">
        <v>407</v>
      </c>
      <c r="C212" s="74" t="s">
        <v>408</v>
      </c>
      <c r="D212" s="73" t="s">
        <v>102</v>
      </c>
      <c r="E212" s="75">
        <v>12</v>
      </c>
      <c r="F212" s="75">
        <f t="shared" si="64"/>
        <v>8.5299999999999994</v>
      </c>
      <c r="G212" s="75">
        <f t="shared" si="65"/>
        <v>10.88</v>
      </c>
      <c r="H212" s="76">
        <f t="shared" si="66"/>
        <v>130.56</v>
      </c>
      <c r="I212" s="75"/>
      <c r="J212" s="75">
        <v>12</v>
      </c>
      <c r="K212" s="75">
        <f t="shared" si="55"/>
        <v>0</v>
      </c>
      <c r="L212" s="76">
        <f t="shared" si="67"/>
        <v>102.36</v>
      </c>
      <c r="M212" s="76">
        <f t="shared" si="68"/>
        <v>0</v>
      </c>
      <c r="N212" s="76">
        <f t="shared" si="69"/>
        <v>130.56</v>
      </c>
      <c r="O212" s="76">
        <f t="shared" si="70"/>
        <v>0</v>
      </c>
      <c r="P212" s="90">
        <f t="shared" si="56"/>
        <v>1</v>
      </c>
      <c r="Q212" s="51"/>
      <c r="T212" s="53">
        <v>8.5299999999999994</v>
      </c>
    </row>
    <row r="213" spans="1:20" s="56" customFormat="1" ht="12" x14ac:dyDescent="0.2">
      <c r="A213" s="73" t="s">
        <v>409</v>
      </c>
      <c r="B213" s="73" t="s">
        <v>410</v>
      </c>
      <c r="C213" s="74" t="s">
        <v>411</v>
      </c>
      <c r="D213" s="73" t="s">
        <v>102</v>
      </c>
      <c r="E213" s="75">
        <v>6</v>
      </c>
      <c r="F213" s="75">
        <f t="shared" si="64"/>
        <v>22.59</v>
      </c>
      <c r="G213" s="75">
        <f t="shared" si="65"/>
        <v>28.82</v>
      </c>
      <c r="H213" s="76">
        <f t="shared" si="66"/>
        <v>172.92</v>
      </c>
      <c r="I213" s="75"/>
      <c r="J213" s="75">
        <v>6</v>
      </c>
      <c r="K213" s="75">
        <f t="shared" si="55"/>
        <v>0</v>
      </c>
      <c r="L213" s="76">
        <f t="shared" si="67"/>
        <v>135.54</v>
      </c>
      <c r="M213" s="76">
        <f t="shared" si="68"/>
        <v>0</v>
      </c>
      <c r="N213" s="76">
        <f t="shared" si="69"/>
        <v>172.92000000000002</v>
      </c>
      <c r="O213" s="76">
        <f t="shared" si="70"/>
        <v>0</v>
      </c>
      <c r="P213" s="90">
        <f t="shared" si="56"/>
        <v>1.0000000000000002</v>
      </c>
      <c r="Q213" s="51"/>
      <c r="T213" s="53">
        <v>22.59</v>
      </c>
    </row>
    <row r="214" spans="1:20" s="56" customFormat="1" ht="12" x14ac:dyDescent="0.2">
      <c r="A214" s="72"/>
      <c r="B214" s="81">
        <v>41643</v>
      </c>
      <c r="C214" s="71" t="s">
        <v>412</v>
      </c>
      <c r="D214" s="72"/>
      <c r="E214" s="72"/>
      <c r="F214" s="75"/>
      <c r="G214" s="72"/>
      <c r="H214" s="72"/>
      <c r="I214" s="72"/>
      <c r="J214" s="75"/>
      <c r="K214" s="75"/>
      <c r="L214" s="72"/>
      <c r="M214" s="76"/>
      <c r="N214" s="76"/>
      <c r="O214" s="76"/>
      <c r="P214" s="90"/>
      <c r="Q214" s="52"/>
      <c r="T214" s="52"/>
    </row>
    <row r="215" spans="1:20" s="56" customFormat="1" ht="12" x14ac:dyDescent="0.2">
      <c r="A215" s="94">
        <v>89408</v>
      </c>
      <c r="B215" s="73" t="s">
        <v>413</v>
      </c>
      <c r="C215" s="74" t="s">
        <v>414</v>
      </c>
      <c r="D215" s="73" t="s">
        <v>102</v>
      </c>
      <c r="E215" s="75">
        <v>91</v>
      </c>
      <c r="F215" s="75">
        <f t="shared" ref="F215:F225" si="71">ROUND(T215*$T$10,2)</f>
        <v>4.09</v>
      </c>
      <c r="G215" s="75">
        <f t="shared" ref="G215:G225" si="72">ROUND(F215*(1+$U$1),2)</f>
        <v>5.22</v>
      </c>
      <c r="H215" s="76">
        <f t="shared" ref="H215:H225" si="73">ROUND(E215*G215,2)</f>
        <v>475.02</v>
      </c>
      <c r="I215" s="75"/>
      <c r="J215" s="75">
        <v>91</v>
      </c>
      <c r="K215" s="75">
        <f t="shared" si="55"/>
        <v>0</v>
      </c>
      <c r="L215" s="76">
        <f t="shared" ref="L215:L225" si="74">ROUND(E215*F215,2)</f>
        <v>372.19</v>
      </c>
      <c r="M215" s="76">
        <f t="shared" si="68"/>
        <v>0</v>
      </c>
      <c r="N215" s="76">
        <f t="shared" si="69"/>
        <v>475.02</v>
      </c>
      <c r="O215" s="76">
        <f t="shared" si="70"/>
        <v>0</v>
      </c>
      <c r="P215" s="90">
        <f t="shared" si="56"/>
        <v>1</v>
      </c>
      <c r="Q215" s="51"/>
      <c r="T215" s="53">
        <v>4.09</v>
      </c>
    </row>
    <row r="216" spans="1:20" s="56" customFormat="1" ht="12" x14ac:dyDescent="0.2">
      <c r="A216" s="94">
        <v>89413</v>
      </c>
      <c r="B216" s="73" t="s">
        <v>415</v>
      </c>
      <c r="C216" s="74" t="s">
        <v>416</v>
      </c>
      <c r="D216" s="73" t="s">
        <v>102</v>
      </c>
      <c r="E216" s="75">
        <v>28</v>
      </c>
      <c r="F216" s="75">
        <f t="shared" si="71"/>
        <v>5.71</v>
      </c>
      <c r="G216" s="75">
        <f t="shared" si="72"/>
        <v>7.29</v>
      </c>
      <c r="H216" s="76">
        <f t="shared" si="73"/>
        <v>204.12</v>
      </c>
      <c r="I216" s="75"/>
      <c r="J216" s="75">
        <v>28</v>
      </c>
      <c r="K216" s="75">
        <f t="shared" si="55"/>
        <v>0</v>
      </c>
      <c r="L216" s="76">
        <f t="shared" si="74"/>
        <v>159.88</v>
      </c>
      <c r="M216" s="76">
        <f t="shared" si="68"/>
        <v>0</v>
      </c>
      <c r="N216" s="76">
        <f t="shared" si="69"/>
        <v>204.12</v>
      </c>
      <c r="O216" s="76">
        <f t="shared" si="70"/>
        <v>0</v>
      </c>
      <c r="P216" s="90">
        <f t="shared" si="56"/>
        <v>1</v>
      </c>
      <c r="Q216" s="51"/>
      <c r="T216" s="53">
        <v>5.71</v>
      </c>
    </row>
    <row r="217" spans="1:20" s="56" customFormat="1" ht="12" x14ac:dyDescent="0.2">
      <c r="A217" s="94">
        <v>89501</v>
      </c>
      <c r="B217" s="73" t="s">
        <v>417</v>
      </c>
      <c r="C217" s="74" t="s">
        <v>418</v>
      </c>
      <c r="D217" s="73" t="s">
        <v>102</v>
      </c>
      <c r="E217" s="75">
        <v>20</v>
      </c>
      <c r="F217" s="75">
        <f t="shared" si="71"/>
        <v>8.99</v>
      </c>
      <c r="G217" s="75">
        <f t="shared" si="72"/>
        <v>11.47</v>
      </c>
      <c r="H217" s="76">
        <f t="shared" si="73"/>
        <v>229.4</v>
      </c>
      <c r="I217" s="75"/>
      <c r="J217" s="75">
        <v>20</v>
      </c>
      <c r="K217" s="75">
        <f t="shared" si="55"/>
        <v>0</v>
      </c>
      <c r="L217" s="76">
        <f t="shared" si="74"/>
        <v>179.8</v>
      </c>
      <c r="M217" s="76">
        <f t="shared" si="68"/>
        <v>0</v>
      </c>
      <c r="N217" s="76">
        <f t="shared" si="69"/>
        <v>229.4</v>
      </c>
      <c r="O217" s="76">
        <f t="shared" si="70"/>
        <v>0</v>
      </c>
      <c r="P217" s="90">
        <f t="shared" si="56"/>
        <v>1</v>
      </c>
      <c r="Q217" s="51"/>
      <c r="T217" s="53">
        <v>8.99</v>
      </c>
    </row>
    <row r="218" spans="1:20" s="56" customFormat="1" ht="12" x14ac:dyDescent="0.2">
      <c r="A218" s="94">
        <v>89505</v>
      </c>
      <c r="B218" s="73" t="s">
        <v>419</v>
      </c>
      <c r="C218" s="74" t="s">
        <v>420</v>
      </c>
      <c r="D218" s="73" t="s">
        <v>102</v>
      </c>
      <c r="E218" s="75">
        <v>10</v>
      </c>
      <c r="F218" s="75">
        <f t="shared" si="71"/>
        <v>23.78</v>
      </c>
      <c r="G218" s="75">
        <f t="shared" si="72"/>
        <v>30.34</v>
      </c>
      <c r="H218" s="76">
        <f t="shared" si="73"/>
        <v>303.39999999999998</v>
      </c>
      <c r="I218" s="75"/>
      <c r="J218" s="75">
        <v>10</v>
      </c>
      <c r="K218" s="75">
        <f t="shared" si="55"/>
        <v>0</v>
      </c>
      <c r="L218" s="76">
        <f t="shared" si="74"/>
        <v>237.8</v>
      </c>
      <c r="M218" s="76">
        <f t="shared" si="68"/>
        <v>0</v>
      </c>
      <c r="N218" s="76">
        <f t="shared" si="69"/>
        <v>303.39999999999998</v>
      </c>
      <c r="O218" s="76">
        <f t="shared" si="70"/>
        <v>0</v>
      </c>
      <c r="P218" s="90">
        <f t="shared" si="56"/>
        <v>1</v>
      </c>
      <c r="Q218" s="51"/>
      <c r="T218" s="53">
        <v>23.78</v>
      </c>
    </row>
    <row r="219" spans="1:20" s="56" customFormat="1" ht="12" x14ac:dyDescent="0.2">
      <c r="A219" s="94">
        <v>89521</v>
      </c>
      <c r="B219" s="73" t="s">
        <v>421</v>
      </c>
      <c r="C219" s="74" t="s">
        <v>422</v>
      </c>
      <c r="D219" s="73" t="s">
        <v>102</v>
      </c>
      <c r="E219" s="75">
        <v>4</v>
      </c>
      <c r="F219" s="75">
        <f t="shared" si="71"/>
        <v>72.209999999999994</v>
      </c>
      <c r="G219" s="75">
        <f t="shared" si="72"/>
        <v>92.13</v>
      </c>
      <c r="H219" s="76">
        <f t="shared" si="73"/>
        <v>368.52</v>
      </c>
      <c r="I219" s="75"/>
      <c r="J219" s="75">
        <v>4</v>
      </c>
      <c r="K219" s="75">
        <f t="shared" si="55"/>
        <v>0</v>
      </c>
      <c r="L219" s="76">
        <f t="shared" si="74"/>
        <v>288.83999999999997</v>
      </c>
      <c r="M219" s="76">
        <f t="shared" si="68"/>
        <v>0</v>
      </c>
      <c r="N219" s="76">
        <f t="shared" si="69"/>
        <v>368.52</v>
      </c>
      <c r="O219" s="76">
        <f t="shared" si="70"/>
        <v>0</v>
      </c>
      <c r="P219" s="90">
        <f t="shared" si="56"/>
        <v>1</v>
      </c>
      <c r="Q219" s="51"/>
      <c r="T219" s="53">
        <v>72.209999999999994</v>
      </c>
    </row>
    <row r="220" spans="1:20" s="56" customFormat="1" ht="12" x14ac:dyDescent="0.2">
      <c r="A220" s="94">
        <v>89409</v>
      </c>
      <c r="B220" s="73" t="s">
        <v>423</v>
      </c>
      <c r="C220" s="74" t="s">
        <v>424</v>
      </c>
      <c r="D220" s="73" t="s">
        <v>102</v>
      </c>
      <c r="E220" s="75">
        <v>5</v>
      </c>
      <c r="F220" s="75">
        <f t="shared" si="71"/>
        <v>4.51</v>
      </c>
      <c r="G220" s="75">
        <f t="shared" si="72"/>
        <v>5.75</v>
      </c>
      <c r="H220" s="76">
        <f t="shared" si="73"/>
        <v>28.75</v>
      </c>
      <c r="I220" s="75"/>
      <c r="J220" s="75">
        <v>5</v>
      </c>
      <c r="K220" s="75">
        <f t="shared" si="55"/>
        <v>0</v>
      </c>
      <c r="L220" s="76">
        <f t="shared" si="74"/>
        <v>22.55</v>
      </c>
      <c r="M220" s="76">
        <f t="shared" si="68"/>
        <v>0</v>
      </c>
      <c r="N220" s="76">
        <f t="shared" si="69"/>
        <v>28.75</v>
      </c>
      <c r="O220" s="76">
        <f t="shared" si="70"/>
        <v>0</v>
      </c>
      <c r="P220" s="90">
        <f t="shared" si="56"/>
        <v>1</v>
      </c>
      <c r="Q220" s="51"/>
      <c r="T220" s="53">
        <v>4.51</v>
      </c>
    </row>
    <row r="221" spans="1:20" s="56" customFormat="1" ht="12" x14ac:dyDescent="0.2">
      <c r="A221" s="94">
        <v>89414</v>
      </c>
      <c r="B221" s="73" t="s">
        <v>425</v>
      </c>
      <c r="C221" s="74" t="s">
        <v>426</v>
      </c>
      <c r="D221" s="73" t="s">
        <v>102</v>
      </c>
      <c r="E221" s="75">
        <v>3</v>
      </c>
      <c r="F221" s="75">
        <f t="shared" si="71"/>
        <v>6.88</v>
      </c>
      <c r="G221" s="75">
        <f t="shared" si="72"/>
        <v>8.7799999999999994</v>
      </c>
      <c r="H221" s="76">
        <f t="shared" si="73"/>
        <v>26.34</v>
      </c>
      <c r="I221" s="130"/>
      <c r="J221" s="75">
        <v>3</v>
      </c>
      <c r="K221" s="75">
        <f t="shared" si="55"/>
        <v>0</v>
      </c>
      <c r="L221" s="76">
        <f t="shared" si="74"/>
        <v>20.64</v>
      </c>
      <c r="M221" s="76">
        <f t="shared" si="68"/>
        <v>0</v>
      </c>
      <c r="N221" s="76">
        <f t="shared" si="69"/>
        <v>26.339999999999996</v>
      </c>
      <c r="O221" s="76">
        <f t="shared" si="70"/>
        <v>0</v>
      </c>
      <c r="P221" s="90">
        <f t="shared" si="56"/>
        <v>0.99999999999999989</v>
      </c>
      <c r="Q221" s="51"/>
      <c r="T221" s="53">
        <v>6.88</v>
      </c>
    </row>
    <row r="222" spans="1:20" s="56" customFormat="1" ht="12" x14ac:dyDescent="0.2">
      <c r="A222" s="94">
        <v>89502</v>
      </c>
      <c r="B222" s="73" t="s">
        <v>427</v>
      </c>
      <c r="C222" s="74" t="s">
        <v>428</v>
      </c>
      <c r="D222" s="73" t="s">
        <v>102</v>
      </c>
      <c r="E222" s="75">
        <v>2</v>
      </c>
      <c r="F222" s="75">
        <f t="shared" si="71"/>
        <v>9.86</v>
      </c>
      <c r="G222" s="75">
        <f t="shared" si="72"/>
        <v>12.58</v>
      </c>
      <c r="H222" s="76">
        <f t="shared" si="73"/>
        <v>25.16</v>
      </c>
      <c r="I222" s="75"/>
      <c r="J222" s="75">
        <v>2</v>
      </c>
      <c r="K222" s="75">
        <f t="shared" si="55"/>
        <v>0</v>
      </c>
      <c r="L222" s="76">
        <f t="shared" si="74"/>
        <v>19.72</v>
      </c>
      <c r="M222" s="76">
        <f t="shared" si="68"/>
        <v>0</v>
      </c>
      <c r="N222" s="76">
        <f t="shared" si="69"/>
        <v>25.16</v>
      </c>
      <c r="O222" s="76">
        <f t="shared" si="70"/>
        <v>0</v>
      </c>
      <c r="P222" s="90">
        <f t="shared" si="56"/>
        <v>1</v>
      </c>
      <c r="Q222" s="51"/>
      <c r="T222" s="53">
        <v>9.86</v>
      </c>
    </row>
    <row r="223" spans="1:20" s="56" customFormat="1" ht="24" x14ac:dyDescent="0.2">
      <c r="A223" s="94">
        <v>89366</v>
      </c>
      <c r="B223" s="73" t="s">
        <v>429</v>
      </c>
      <c r="C223" s="74" t="s">
        <v>430</v>
      </c>
      <c r="D223" s="73" t="s">
        <v>102</v>
      </c>
      <c r="E223" s="75">
        <v>12</v>
      </c>
      <c r="F223" s="75">
        <f t="shared" si="71"/>
        <v>10.4</v>
      </c>
      <c r="G223" s="75">
        <f t="shared" si="72"/>
        <v>13.27</v>
      </c>
      <c r="H223" s="76">
        <f t="shared" si="73"/>
        <v>159.24</v>
      </c>
      <c r="I223" s="75"/>
      <c r="J223" s="75">
        <v>12</v>
      </c>
      <c r="K223" s="75">
        <f t="shared" si="55"/>
        <v>0</v>
      </c>
      <c r="L223" s="76">
        <f t="shared" si="74"/>
        <v>124.8</v>
      </c>
      <c r="M223" s="76">
        <f t="shared" si="68"/>
        <v>0</v>
      </c>
      <c r="N223" s="76">
        <f t="shared" si="69"/>
        <v>159.24</v>
      </c>
      <c r="O223" s="76">
        <f t="shared" si="70"/>
        <v>0</v>
      </c>
      <c r="P223" s="90">
        <f t="shared" si="56"/>
        <v>1</v>
      </c>
      <c r="Q223" s="51"/>
      <c r="T223" s="53">
        <v>10.4</v>
      </c>
    </row>
    <row r="224" spans="1:20" s="56" customFormat="1" ht="24" x14ac:dyDescent="0.2">
      <c r="A224" s="94">
        <v>90373</v>
      </c>
      <c r="B224" s="73" t="s">
        <v>431</v>
      </c>
      <c r="C224" s="74" t="s">
        <v>432</v>
      </c>
      <c r="D224" s="73" t="s">
        <v>102</v>
      </c>
      <c r="E224" s="75">
        <v>64</v>
      </c>
      <c r="F224" s="75">
        <f t="shared" si="71"/>
        <v>9.6</v>
      </c>
      <c r="G224" s="75">
        <f t="shared" si="72"/>
        <v>12.25</v>
      </c>
      <c r="H224" s="76">
        <f t="shared" si="73"/>
        <v>784</v>
      </c>
      <c r="I224" s="75"/>
      <c r="J224" s="75">
        <v>64</v>
      </c>
      <c r="K224" s="75">
        <f t="shared" si="55"/>
        <v>0</v>
      </c>
      <c r="L224" s="76">
        <f t="shared" si="74"/>
        <v>614.4</v>
      </c>
      <c r="M224" s="76">
        <f t="shared" si="68"/>
        <v>0</v>
      </c>
      <c r="N224" s="76">
        <f t="shared" si="69"/>
        <v>784</v>
      </c>
      <c r="O224" s="76">
        <f t="shared" si="70"/>
        <v>0</v>
      </c>
      <c r="P224" s="90">
        <f t="shared" si="56"/>
        <v>1</v>
      </c>
      <c r="Q224" s="51"/>
      <c r="T224" s="53">
        <v>9.6</v>
      </c>
    </row>
    <row r="225" spans="1:20" s="56" customFormat="1" ht="12" x14ac:dyDescent="0.2">
      <c r="A225" s="73" t="s">
        <v>433</v>
      </c>
      <c r="B225" s="73" t="s">
        <v>434</v>
      </c>
      <c r="C225" s="74" t="s">
        <v>435</v>
      </c>
      <c r="D225" s="73" t="s">
        <v>102</v>
      </c>
      <c r="E225" s="75">
        <v>13</v>
      </c>
      <c r="F225" s="75">
        <f t="shared" si="71"/>
        <v>7.38</v>
      </c>
      <c r="G225" s="75">
        <f t="shared" si="72"/>
        <v>9.42</v>
      </c>
      <c r="H225" s="76">
        <f t="shared" si="73"/>
        <v>122.46</v>
      </c>
      <c r="I225" s="75"/>
      <c r="J225" s="75">
        <v>13</v>
      </c>
      <c r="K225" s="75">
        <f t="shared" si="55"/>
        <v>0</v>
      </c>
      <c r="L225" s="76">
        <f t="shared" si="74"/>
        <v>95.94</v>
      </c>
      <c r="M225" s="76">
        <f t="shared" si="68"/>
        <v>0</v>
      </c>
      <c r="N225" s="76">
        <f t="shared" si="69"/>
        <v>122.46</v>
      </c>
      <c r="O225" s="76">
        <f t="shared" si="70"/>
        <v>0</v>
      </c>
      <c r="P225" s="90">
        <f t="shared" si="56"/>
        <v>1</v>
      </c>
      <c r="Q225" s="51"/>
      <c r="T225" s="53">
        <v>7.38</v>
      </c>
    </row>
    <row r="226" spans="1:20" s="56" customFormat="1" ht="12" x14ac:dyDescent="0.2">
      <c r="A226" s="72"/>
      <c r="B226" s="81">
        <v>41644</v>
      </c>
      <c r="C226" s="71" t="s">
        <v>436</v>
      </c>
      <c r="D226" s="72"/>
      <c r="E226" s="72"/>
      <c r="F226" s="75"/>
      <c r="G226" s="72"/>
      <c r="H226" s="72"/>
      <c r="I226" s="72"/>
      <c r="J226" s="75"/>
      <c r="K226" s="75"/>
      <c r="L226" s="72"/>
      <c r="M226" s="76"/>
      <c r="N226" s="76"/>
      <c r="O226" s="76"/>
      <c r="P226" s="90"/>
      <c r="Q226" s="52"/>
      <c r="T226" s="52"/>
    </row>
    <row r="227" spans="1:20" s="56" customFormat="1" ht="12" x14ac:dyDescent="0.2">
      <c r="A227" s="94">
        <v>89424</v>
      </c>
      <c r="B227" s="73" t="s">
        <v>437</v>
      </c>
      <c r="C227" s="74" t="s">
        <v>438</v>
      </c>
      <c r="D227" s="73" t="s">
        <v>102</v>
      </c>
      <c r="E227" s="75">
        <v>12</v>
      </c>
      <c r="F227" s="75">
        <f t="shared" ref="F227:F232" si="75">ROUND(T227*$T$10,2)</f>
        <v>3.06</v>
      </c>
      <c r="G227" s="75">
        <f t="shared" ref="G227:G232" si="76">ROUND(F227*(1+$U$1),2)</f>
        <v>3.9</v>
      </c>
      <c r="H227" s="76">
        <f t="shared" ref="H227:H232" si="77">ROUND(E227*G227,2)</f>
        <v>46.8</v>
      </c>
      <c r="I227" s="75"/>
      <c r="J227" s="75">
        <v>12</v>
      </c>
      <c r="K227" s="75">
        <f t="shared" si="55"/>
        <v>0</v>
      </c>
      <c r="L227" s="76">
        <f t="shared" ref="L227:L232" si="78">ROUND(E227*F227,2)</f>
        <v>36.72</v>
      </c>
      <c r="M227" s="76">
        <f t="shared" si="68"/>
        <v>0</v>
      </c>
      <c r="N227" s="76">
        <f t="shared" si="69"/>
        <v>46.8</v>
      </c>
      <c r="O227" s="76">
        <f t="shared" si="70"/>
        <v>0</v>
      </c>
      <c r="P227" s="90">
        <f t="shared" si="56"/>
        <v>1</v>
      </c>
      <c r="Q227" s="51"/>
      <c r="T227" s="53">
        <v>3.06</v>
      </c>
    </row>
    <row r="228" spans="1:20" s="56" customFormat="1" ht="12" x14ac:dyDescent="0.2">
      <c r="A228" s="94">
        <v>89431</v>
      </c>
      <c r="B228" s="73" t="s">
        <v>439</v>
      </c>
      <c r="C228" s="74" t="s">
        <v>440</v>
      </c>
      <c r="D228" s="73" t="s">
        <v>102</v>
      </c>
      <c r="E228" s="75">
        <v>12</v>
      </c>
      <c r="F228" s="75">
        <f t="shared" si="75"/>
        <v>4.18</v>
      </c>
      <c r="G228" s="75">
        <f t="shared" si="76"/>
        <v>5.33</v>
      </c>
      <c r="H228" s="76">
        <f t="shared" si="77"/>
        <v>63.96</v>
      </c>
      <c r="I228" s="75"/>
      <c r="J228" s="75">
        <v>12</v>
      </c>
      <c r="K228" s="75">
        <f t="shared" si="55"/>
        <v>0</v>
      </c>
      <c r="L228" s="76">
        <f t="shared" si="78"/>
        <v>50.16</v>
      </c>
      <c r="M228" s="76">
        <f t="shared" si="68"/>
        <v>0</v>
      </c>
      <c r="N228" s="76">
        <f t="shared" si="69"/>
        <v>63.96</v>
      </c>
      <c r="O228" s="76">
        <f t="shared" si="70"/>
        <v>0</v>
      </c>
      <c r="P228" s="90">
        <f t="shared" si="56"/>
        <v>1</v>
      </c>
      <c r="Q228" s="51"/>
      <c r="T228" s="53">
        <v>4.18</v>
      </c>
    </row>
    <row r="229" spans="1:20" s="56" customFormat="1" ht="12" x14ac:dyDescent="0.2">
      <c r="A229" s="94">
        <v>89575</v>
      </c>
      <c r="B229" s="73" t="s">
        <v>441</v>
      </c>
      <c r="C229" s="74" t="s">
        <v>442</v>
      </c>
      <c r="D229" s="73" t="s">
        <v>102</v>
      </c>
      <c r="E229" s="75">
        <v>7</v>
      </c>
      <c r="F229" s="75">
        <f t="shared" si="75"/>
        <v>6.7</v>
      </c>
      <c r="G229" s="75">
        <f t="shared" si="76"/>
        <v>8.5500000000000007</v>
      </c>
      <c r="H229" s="76">
        <f t="shared" si="77"/>
        <v>59.85</v>
      </c>
      <c r="I229" s="75"/>
      <c r="J229" s="75">
        <v>7</v>
      </c>
      <c r="K229" s="75">
        <f t="shared" si="55"/>
        <v>0</v>
      </c>
      <c r="L229" s="76">
        <f t="shared" si="78"/>
        <v>46.9</v>
      </c>
      <c r="M229" s="76">
        <f t="shared" si="68"/>
        <v>0</v>
      </c>
      <c r="N229" s="76">
        <f t="shared" si="69"/>
        <v>59.850000000000009</v>
      </c>
      <c r="O229" s="76">
        <f t="shared" si="70"/>
        <v>0</v>
      </c>
      <c r="P229" s="90">
        <f t="shared" si="56"/>
        <v>1.0000000000000002</v>
      </c>
      <c r="Q229" s="51"/>
      <c r="T229" s="53">
        <v>6.7</v>
      </c>
    </row>
    <row r="230" spans="1:20" s="56" customFormat="1" ht="12" x14ac:dyDescent="0.2">
      <c r="A230" s="94">
        <v>89597</v>
      </c>
      <c r="B230" s="73" t="s">
        <v>443</v>
      </c>
      <c r="C230" s="74" t="s">
        <v>444</v>
      </c>
      <c r="D230" s="73" t="s">
        <v>102</v>
      </c>
      <c r="E230" s="75">
        <v>3</v>
      </c>
      <c r="F230" s="75">
        <f t="shared" si="75"/>
        <v>12.3</v>
      </c>
      <c r="G230" s="75">
        <f t="shared" si="76"/>
        <v>15.69</v>
      </c>
      <c r="H230" s="76">
        <f t="shared" si="77"/>
        <v>47.07</v>
      </c>
      <c r="I230" s="75"/>
      <c r="J230" s="75">
        <v>3</v>
      </c>
      <c r="K230" s="75">
        <f t="shared" si="55"/>
        <v>0</v>
      </c>
      <c r="L230" s="76">
        <f t="shared" si="78"/>
        <v>36.9</v>
      </c>
      <c r="M230" s="76">
        <f t="shared" si="68"/>
        <v>0</v>
      </c>
      <c r="N230" s="76">
        <f t="shared" si="69"/>
        <v>47.07</v>
      </c>
      <c r="O230" s="76">
        <f t="shared" si="70"/>
        <v>0</v>
      </c>
      <c r="P230" s="90">
        <f t="shared" si="56"/>
        <v>1</v>
      </c>
      <c r="Q230" s="51"/>
      <c r="T230" s="53">
        <v>12.3</v>
      </c>
    </row>
    <row r="231" spans="1:20" s="56" customFormat="1" ht="12" x14ac:dyDescent="0.2">
      <c r="A231" s="94">
        <v>89614</v>
      </c>
      <c r="B231" s="73" t="s">
        <v>445</v>
      </c>
      <c r="C231" s="74" t="s">
        <v>446</v>
      </c>
      <c r="D231" s="73" t="s">
        <v>102</v>
      </c>
      <c r="E231" s="75">
        <v>7</v>
      </c>
      <c r="F231" s="75">
        <f t="shared" si="75"/>
        <v>33.06</v>
      </c>
      <c r="G231" s="75">
        <f t="shared" si="76"/>
        <v>42.18</v>
      </c>
      <c r="H231" s="76">
        <f t="shared" si="77"/>
        <v>295.26</v>
      </c>
      <c r="I231" s="75"/>
      <c r="J231" s="75">
        <v>7</v>
      </c>
      <c r="K231" s="75">
        <f t="shared" si="55"/>
        <v>0</v>
      </c>
      <c r="L231" s="76">
        <f t="shared" si="78"/>
        <v>231.42</v>
      </c>
      <c r="M231" s="76">
        <f t="shared" si="68"/>
        <v>0</v>
      </c>
      <c r="N231" s="76">
        <f t="shared" si="69"/>
        <v>295.26</v>
      </c>
      <c r="O231" s="76">
        <f t="shared" si="70"/>
        <v>0</v>
      </c>
      <c r="P231" s="90">
        <f t="shared" si="56"/>
        <v>1</v>
      </c>
      <c r="Q231" s="51"/>
      <c r="T231" s="53">
        <v>33.06</v>
      </c>
    </row>
    <row r="232" spans="1:20" s="56" customFormat="1" ht="12" x14ac:dyDescent="0.2">
      <c r="A232" s="73" t="s">
        <v>447</v>
      </c>
      <c r="B232" s="73" t="s">
        <v>448</v>
      </c>
      <c r="C232" s="74" t="s">
        <v>449</v>
      </c>
      <c r="D232" s="73" t="s">
        <v>102</v>
      </c>
      <c r="E232" s="75">
        <v>8</v>
      </c>
      <c r="F232" s="75">
        <f t="shared" si="75"/>
        <v>4.53</v>
      </c>
      <c r="G232" s="75">
        <f t="shared" si="76"/>
        <v>5.78</v>
      </c>
      <c r="H232" s="76">
        <f t="shared" si="77"/>
        <v>46.24</v>
      </c>
      <c r="I232" s="75"/>
      <c r="J232" s="75">
        <v>8</v>
      </c>
      <c r="K232" s="75">
        <f t="shared" si="55"/>
        <v>0</v>
      </c>
      <c r="L232" s="76">
        <f t="shared" si="78"/>
        <v>36.24</v>
      </c>
      <c r="M232" s="76">
        <f t="shared" si="68"/>
        <v>0</v>
      </c>
      <c r="N232" s="76">
        <f t="shared" si="69"/>
        <v>46.24</v>
      </c>
      <c r="O232" s="76">
        <f t="shared" si="70"/>
        <v>0</v>
      </c>
      <c r="P232" s="90">
        <f t="shared" si="56"/>
        <v>1</v>
      </c>
      <c r="Q232" s="51"/>
      <c r="T232" s="53">
        <v>4.53</v>
      </c>
    </row>
    <row r="233" spans="1:20" s="56" customFormat="1" ht="12" x14ac:dyDescent="0.2">
      <c r="A233" s="72"/>
      <c r="B233" s="81">
        <v>41645</v>
      </c>
      <c r="C233" s="71" t="s">
        <v>450</v>
      </c>
      <c r="D233" s="72"/>
      <c r="E233" s="72"/>
      <c r="F233" s="75"/>
      <c r="G233" s="72"/>
      <c r="H233" s="72"/>
      <c r="I233" s="72"/>
      <c r="J233" s="75"/>
      <c r="K233" s="75"/>
      <c r="L233" s="72"/>
      <c r="M233" s="76"/>
      <c r="N233" s="76"/>
      <c r="O233" s="76"/>
      <c r="P233" s="90"/>
      <c r="Q233" s="52"/>
      <c r="T233" s="52"/>
    </row>
    <row r="234" spans="1:20" s="56" customFormat="1" ht="12" x14ac:dyDescent="0.2">
      <c r="A234" s="94">
        <v>89440</v>
      </c>
      <c r="B234" s="73" t="s">
        <v>451</v>
      </c>
      <c r="C234" s="74" t="s">
        <v>452</v>
      </c>
      <c r="D234" s="73" t="s">
        <v>102</v>
      </c>
      <c r="E234" s="75">
        <v>17</v>
      </c>
      <c r="F234" s="75">
        <f t="shared" ref="F234:F244" si="79">ROUND(T234*$T$10,2)</f>
        <v>5.76</v>
      </c>
      <c r="G234" s="75">
        <f t="shared" ref="G234:G244" si="80">ROUND(F234*(1+$U$1),2)</f>
        <v>7.35</v>
      </c>
      <c r="H234" s="76">
        <f t="shared" ref="H234:H244" si="81">ROUND(E234*G234,2)</f>
        <v>124.95</v>
      </c>
      <c r="I234" s="75"/>
      <c r="J234" s="75">
        <v>17</v>
      </c>
      <c r="K234" s="75">
        <f t="shared" si="55"/>
        <v>0</v>
      </c>
      <c r="L234" s="76">
        <f t="shared" ref="L234:L244" si="82">ROUND(E234*F234,2)</f>
        <v>97.92</v>
      </c>
      <c r="M234" s="76">
        <f t="shared" si="68"/>
        <v>0</v>
      </c>
      <c r="N234" s="76">
        <f t="shared" si="69"/>
        <v>124.94999999999999</v>
      </c>
      <c r="O234" s="76">
        <f t="shared" si="70"/>
        <v>0</v>
      </c>
      <c r="P234" s="90">
        <f t="shared" si="56"/>
        <v>0.99999999999999989</v>
      </c>
      <c r="Q234" s="51"/>
      <c r="T234" s="53">
        <v>5.76</v>
      </c>
    </row>
    <row r="235" spans="1:20" s="56" customFormat="1" ht="12" x14ac:dyDescent="0.2">
      <c r="A235" s="94">
        <v>89443</v>
      </c>
      <c r="B235" s="73" t="s">
        <v>453</v>
      </c>
      <c r="C235" s="74" t="s">
        <v>454</v>
      </c>
      <c r="D235" s="73" t="s">
        <v>102</v>
      </c>
      <c r="E235" s="75">
        <v>13</v>
      </c>
      <c r="F235" s="75">
        <f t="shared" si="79"/>
        <v>8.1999999999999993</v>
      </c>
      <c r="G235" s="75">
        <f t="shared" si="80"/>
        <v>10.46</v>
      </c>
      <c r="H235" s="76">
        <f t="shared" si="81"/>
        <v>135.97999999999999</v>
      </c>
      <c r="I235" s="75"/>
      <c r="J235" s="75">
        <v>13</v>
      </c>
      <c r="K235" s="75">
        <f t="shared" si="55"/>
        <v>0</v>
      </c>
      <c r="L235" s="76">
        <f t="shared" si="82"/>
        <v>106.6</v>
      </c>
      <c r="M235" s="76">
        <f t="shared" si="68"/>
        <v>0</v>
      </c>
      <c r="N235" s="76">
        <f t="shared" si="69"/>
        <v>135.98000000000002</v>
      </c>
      <c r="O235" s="76">
        <f t="shared" si="70"/>
        <v>0</v>
      </c>
      <c r="P235" s="90">
        <f t="shared" si="56"/>
        <v>1.0000000000000002</v>
      </c>
      <c r="Q235" s="51"/>
      <c r="T235" s="53">
        <v>8.1999999999999993</v>
      </c>
    </row>
    <row r="236" spans="1:20" s="56" customFormat="1" ht="12" x14ac:dyDescent="0.2">
      <c r="A236" s="94">
        <v>89625</v>
      </c>
      <c r="B236" s="73" t="s">
        <v>455</v>
      </c>
      <c r="C236" s="74" t="s">
        <v>456</v>
      </c>
      <c r="D236" s="73" t="s">
        <v>102</v>
      </c>
      <c r="E236" s="75">
        <v>17</v>
      </c>
      <c r="F236" s="75">
        <f t="shared" si="79"/>
        <v>13.75</v>
      </c>
      <c r="G236" s="75">
        <f t="shared" si="80"/>
        <v>17.54</v>
      </c>
      <c r="H236" s="76">
        <f t="shared" si="81"/>
        <v>298.18</v>
      </c>
      <c r="I236" s="75"/>
      <c r="J236" s="75">
        <v>17</v>
      </c>
      <c r="K236" s="75">
        <f t="shared" si="55"/>
        <v>0</v>
      </c>
      <c r="L236" s="76">
        <f t="shared" si="82"/>
        <v>233.75</v>
      </c>
      <c r="M236" s="76">
        <f t="shared" si="68"/>
        <v>0</v>
      </c>
      <c r="N236" s="76">
        <f t="shared" si="69"/>
        <v>298.18</v>
      </c>
      <c r="O236" s="76">
        <f t="shared" si="70"/>
        <v>0</v>
      </c>
      <c r="P236" s="90">
        <f t="shared" si="56"/>
        <v>1</v>
      </c>
      <c r="Q236" s="51"/>
      <c r="T236" s="53">
        <v>13.75</v>
      </c>
    </row>
    <row r="237" spans="1:20" s="56" customFormat="1" ht="12" x14ac:dyDescent="0.2">
      <c r="A237" s="94">
        <v>89628</v>
      </c>
      <c r="B237" s="73" t="s">
        <v>457</v>
      </c>
      <c r="C237" s="74" t="s">
        <v>458</v>
      </c>
      <c r="D237" s="73" t="s">
        <v>102</v>
      </c>
      <c r="E237" s="75">
        <v>8</v>
      </c>
      <c r="F237" s="75">
        <f t="shared" si="79"/>
        <v>27.72</v>
      </c>
      <c r="G237" s="75">
        <f t="shared" si="80"/>
        <v>35.369999999999997</v>
      </c>
      <c r="H237" s="76">
        <f t="shared" si="81"/>
        <v>282.95999999999998</v>
      </c>
      <c r="I237" s="75"/>
      <c r="J237" s="75">
        <v>8</v>
      </c>
      <c r="K237" s="75">
        <f t="shared" si="55"/>
        <v>0</v>
      </c>
      <c r="L237" s="76">
        <f t="shared" si="82"/>
        <v>221.76</v>
      </c>
      <c r="M237" s="76">
        <f t="shared" si="68"/>
        <v>0</v>
      </c>
      <c r="N237" s="76">
        <f t="shared" si="69"/>
        <v>282.95999999999998</v>
      </c>
      <c r="O237" s="76">
        <f t="shared" si="70"/>
        <v>0</v>
      </c>
      <c r="P237" s="90">
        <f t="shared" si="56"/>
        <v>1</v>
      </c>
      <c r="Q237" s="51"/>
      <c r="T237" s="53">
        <v>27.72</v>
      </c>
    </row>
    <row r="238" spans="1:20" s="56" customFormat="1" ht="12" x14ac:dyDescent="0.2">
      <c r="A238" s="94">
        <v>89631</v>
      </c>
      <c r="B238" s="73" t="s">
        <v>459</v>
      </c>
      <c r="C238" s="74" t="s">
        <v>460</v>
      </c>
      <c r="D238" s="73" t="s">
        <v>102</v>
      </c>
      <c r="E238" s="75">
        <v>6</v>
      </c>
      <c r="F238" s="75">
        <f t="shared" si="79"/>
        <v>71.03</v>
      </c>
      <c r="G238" s="75">
        <f t="shared" si="80"/>
        <v>90.63</v>
      </c>
      <c r="H238" s="76">
        <f t="shared" si="81"/>
        <v>543.78</v>
      </c>
      <c r="I238" s="75"/>
      <c r="J238" s="75">
        <v>6</v>
      </c>
      <c r="K238" s="75">
        <f t="shared" si="55"/>
        <v>0</v>
      </c>
      <c r="L238" s="76">
        <f t="shared" si="82"/>
        <v>426.18</v>
      </c>
      <c r="M238" s="76">
        <f t="shared" si="68"/>
        <v>0</v>
      </c>
      <c r="N238" s="76">
        <f t="shared" si="69"/>
        <v>543.78</v>
      </c>
      <c r="O238" s="76">
        <f t="shared" si="70"/>
        <v>0</v>
      </c>
      <c r="P238" s="90">
        <f t="shared" si="56"/>
        <v>1</v>
      </c>
      <c r="Q238" s="51"/>
      <c r="T238" s="53">
        <v>71.03</v>
      </c>
    </row>
    <row r="239" spans="1:20" s="56" customFormat="1" ht="24" x14ac:dyDescent="0.2">
      <c r="A239" s="73" t="s">
        <v>78</v>
      </c>
      <c r="B239" s="73" t="s">
        <v>461</v>
      </c>
      <c r="C239" s="74" t="s">
        <v>462</v>
      </c>
      <c r="D239" s="73" t="s">
        <v>102</v>
      </c>
      <c r="E239" s="75">
        <v>13</v>
      </c>
      <c r="F239" s="75">
        <f t="shared" si="79"/>
        <v>12.99</v>
      </c>
      <c r="G239" s="75">
        <f t="shared" si="80"/>
        <v>16.57</v>
      </c>
      <c r="H239" s="76">
        <f t="shared" si="81"/>
        <v>215.41</v>
      </c>
      <c r="I239" s="75"/>
      <c r="J239" s="75">
        <v>13</v>
      </c>
      <c r="K239" s="75">
        <f t="shared" si="55"/>
        <v>0</v>
      </c>
      <c r="L239" s="76">
        <f t="shared" si="82"/>
        <v>168.87</v>
      </c>
      <c r="M239" s="76">
        <f t="shared" si="68"/>
        <v>0</v>
      </c>
      <c r="N239" s="76">
        <f t="shared" si="69"/>
        <v>215.41</v>
      </c>
      <c r="O239" s="76">
        <f t="shared" si="70"/>
        <v>0</v>
      </c>
      <c r="P239" s="90">
        <f t="shared" si="56"/>
        <v>1</v>
      </c>
      <c r="Q239" s="51"/>
      <c r="T239" s="53">
        <v>12.99</v>
      </c>
    </row>
    <row r="240" spans="1:20" s="56" customFormat="1" ht="24" x14ac:dyDescent="0.2">
      <c r="A240" s="73" t="s">
        <v>78</v>
      </c>
      <c r="B240" s="73" t="s">
        <v>463</v>
      </c>
      <c r="C240" s="74" t="s">
        <v>464</v>
      </c>
      <c r="D240" s="73" t="s">
        <v>102</v>
      </c>
      <c r="E240" s="75">
        <v>4</v>
      </c>
      <c r="F240" s="75">
        <f t="shared" si="79"/>
        <v>14.25</v>
      </c>
      <c r="G240" s="75">
        <f t="shared" si="80"/>
        <v>18.18</v>
      </c>
      <c r="H240" s="76">
        <f t="shared" si="81"/>
        <v>72.72</v>
      </c>
      <c r="I240" s="75"/>
      <c r="J240" s="75">
        <v>4</v>
      </c>
      <c r="K240" s="75">
        <f t="shared" si="55"/>
        <v>0</v>
      </c>
      <c r="L240" s="76">
        <f t="shared" si="82"/>
        <v>57</v>
      </c>
      <c r="M240" s="76">
        <f t="shared" si="68"/>
        <v>0</v>
      </c>
      <c r="N240" s="76">
        <f t="shared" si="69"/>
        <v>72.72</v>
      </c>
      <c r="O240" s="76">
        <f t="shared" si="70"/>
        <v>0</v>
      </c>
      <c r="P240" s="90">
        <f t="shared" si="56"/>
        <v>1</v>
      </c>
      <c r="Q240" s="51"/>
      <c r="T240" s="53">
        <v>14.25</v>
      </c>
    </row>
    <row r="241" spans="1:20" s="56" customFormat="1" ht="12" x14ac:dyDescent="0.2">
      <c r="A241" s="94">
        <v>89400</v>
      </c>
      <c r="B241" s="73" t="s">
        <v>465</v>
      </c>
      <c r="C241" s="74" t="s">
        <v>466</v>
      </c>
      <c r="D241" s="73" t="s">
        <v>102</v>
      </c>
      <c r="E241" s="75">
        <v>26</v>
      </c>
      <c r="F241" s="75">
        <f t="shared" si="79"/>
        <v>13.19</v>
      </c>
      <c r="G241" s="75">
        <f t="shared" si="80"/>
        <v>16.829999999999998</v>
      </c>
      <c r="H241" s="76">
        <f t="shared" si="81"/>
        <v>437.58</v>
      </c>
      <c r="I241" s="75"/>
      <c r="J241" s="75">
        <v>26</v>
      </c>
      <c r="K241" s="75">
        <f t="shared" si="55"/>
        <v>0</v>
      </c>
      <c r="L241" s="76">
        <f t="shared" si="82"/>
        <v>342.94</v>
      </c>
      <c r="M241" s="76">
        <f t="shared" si="68"/>
        <v>0</v>
      </c>
      <c r="N241" s="76">
        <f t="shared" si="69"/>
        <v>437.57999999999993</v>
      </c>
      <c r="O241" s="76">
        <f t="shared" si="70"/>
        <v>0</v>
      </c>
      <c r="P241" s="90">
        <f t="shared" si="56"/>
        <v>0.99999999999999989</v>
      </c>
      <c r="Q241" s="51"/>
      <c r="T241" s="53">
        <v>13.19</v>
      </c>
    </row>
    <row r="242" spans="1:20" s="56" customFormat="1" ht="12" x14ac:dyDescent="0.2">
      <c r="A242" s="94">
        <v>89627</v>
      </c>
      <c r="B242" s="73" t="s">
        <v>467</v>
      </c>
      <c r="C242" s="74" t="s">
        <v>468</v>
      </c>
      <c r="D242" s="73" t="s">
        <v>102</v>
      </c>
      <c r="E242" s="75">
        <v>3</v>
      </c>
      <c r="F242" s="75">
        <f t="shared" si="79"/>
        <v>13.53</v>
      </c>
      <c r="G242" s="75">
        <f t="shared" si="80"/>
        <v>17.260000000000002</v>
      </c>
      <c r="H242" s="76">
        <f t="shared" si="81"/>
        <v>51.78</v>
      </c>
      <c r="I242" s="75"/>
      <c r="J242" s="75">
        <v>3</v>
      </c>
      <c r="K242" s="75">
        <f t="shared" si="55"/>
        <v>0</v>
      </c>
      <c r="L242" s="76">
        <f t="shared" si="82"/>
        <v>40.590000000000003</v>
      </c>
      <c r="M242" s="76">
        <f t="shared" si="68"/>
        <v>0</v>
      </c>
      <c r="N242" s="76">
        <f t="shared" si="69"/>
        <v>51.78</v>
      </c>
      <c r="O242" s="76">
        <f t="shared" si="70"/>
        <v>0</v>
      </c>
      <c r="P242" s="90">
        <f t="shared" si="56"/>
        <v>1</v>
      </c>
      <c r="Q242" s="51"/>
      <c r="T242" s="53">
        <v>13.53</v>
      </c>
    </row>
    <row r="243" spans="1:20" s="56" customFormat="1" ht="12" x14ac:dyDescent="0.2">
      <c r="A243" s="73" t="s">
        <v>78</v>
      </c>
      <c r="B243" s="73" t="s">
        <v>469</v>
      </c>
      <c r="C243" s="74" t="s">
        <v>470</v>
      </c>
      <c r="D243" s="73" t="s">
        <v>102</v>
      </c>
      <c r="E243" s="75">
        <v>2</v>
      </c>
      <c r="F243" s="75">
        <f t="shared" si="79"/>
        <v>26.32</v>
      </c>
      <c r="G243" s="75">
        <f t="shared" si="80"/>
        <v>33.58</v>
      </c>
      <c r="H243" s="76">
        <f t="shared" si="81"/>
        <v>67.16</v>
      </c>
      <c r="I243" s="75"/>
      <c r="J243" s="75">
        <v>2</v>
      </c>
      <c r="K243" s="75">
        <f t="shared" si="55"/>
        <v>0</v>
      </c>
      <c r="L243" s="76">
        <f t="shared" si="82"/>
        <v>52.64</v>
      </c>
      <c r="M243" s="76">
        <f t="shared" si="68"/>
        <v>0</v>
      </c>
      <c r="N243" s="76">
        <f t="shared" si="69"/>
        <v>67.16</v>
      </c>
      <c r="O243" s="76">
        <f t="shared" si="70"/>
        <v>0</v>
      </c>
      <c r="P243" s="90">
        <f t="shared" si="56"/>
        <v>1</v>
      </c>
      <c r="Q243" s="51"/>
      <c r="T243" s="53">
        <v>26.32</v>
      </c>
    </row>
    <row r="244" spans="1:20" s="56" customFormat="1" ht="12" x14ac:dyDescent="0.2">
      <c r="A244" s="94">
        <v>89632</v>
      </c>
      <c r="B244" s="73" t="s">
        <v>471</v>
      </c>
      <c r="C244" s="74" t="s">
        <v>472</v>
      </c>
      <c r="D244" s="73" t="s">
        <v>102</v>
      </c>
      <c r="E244" s="75">
        <v>14</v>
      </c>
      <c r="F244" s="75">
        <f t="shared" si="79"/>
        <v>61.2</v>
      </c>
      <c r="G244" s="75">
        <f t="shared" si="80"/>
        <v>78.09</v>
      </c>
      <c r="H244" s="76">
        <f t="shared" si="81"/>
        <v>1093.26</v>
      </c>
      <c r="I244" s="75"/>
      <c r="J244" s="75">
        <v>14</v>
      </c>
      <c r="K244" s="75">
        <f t="shared" si="55"/>
        <v>0</v>
      </c>
      <c r="L244" s="76">
        <f t="shared" si="82"/>
        <v>856.8</v>
      </c>
      <c r="M244" s="76">
        <f t="shared" si="68"/>
        <v>0</v>
      </c>
      <c r="N244" s="76">
        <f t="shared" si="69"/>
        <v>1093.26</v>
      </c>
      <c r="O244" s="76">
        <f t="shared" si="70"/>
        <v>0</v>
      </c>
      <c r="P244" s="90">
        <f t="shared" si="56"/>
        <v>1</v>
      </c>
      <c r="Q244" s="51"/>
      <c r="T244" s="53">
        <v>61.2</v>
      </c>
    </row>
    <row r="245" spans="1:20" s="56" customFormat="1" ht="12" x14ac:dyDescent="0.2">
      <c r="A245" s="72"/>
      <c r="B245" s="81">
        <v>41646</v>
      </c>
      <c r="C245" s="71" t="s">
        <v>473</v>
      </c>
      <c r="D245" s="72"/>
      <c r="E245" s="72"/>
      <c r="F245" s="75"/>
      <c r="G245" s="72"/>
      <c r="H245" s="72"/>
      <c r="I245" s="72"/>
      <c r="J245" s="75"/>
      <c r="K245" s="75"/>
      <c r="L245" s="72"/>
      <c r="M245" s="76"/>
      <c r="N245" s="76"/>
      <c r="O245" s="76"/>
      <c r="P245" s="90"/>
      <c r="Q245" s="52"/>
      <c r="T245" s="52"/>
    </row>
    <row r="246" spans="1:20" s="56" customFormat="1" ht="12" x14ac:dyDescent="0.2">
      <c r="A246" s="94">
        <v>89382</v>
      </c>
      <c r="B246" s="73" t="s">
        <v>474</v>
      </c>
      <c r="C246" s="74" t="s">
        <v>475</v>
      </c>
      <c r="D246" s="73" t="s">
        <v>102</v>
      </c>
      <c r="E246" s="75">
        <v>2</v>
      </c>
      <c r="F246" s="75">
        <f>ROUND(T246*$T$10,2)</f>
        <v>8.39</v>
      </c>
      <c r="G246" s="75">
        <f>ROUND(F246*(1+$U$1),2)</f>
        <v>10.7</v>
      </c>
      <c r="H246" s="76">
        <f>ROUND(E246*G246,2)</f>
        <v>21.4</v>
      </c>
      <c r="I246" s="75"/>
      <c r="J246" s="75">
        <v>2</v>
      </c>
      <c r="K246" s="75">
        <f t="shared" si="55"/>
        <v>0</v>
      </c>
      <c r="L246" s="76">
        <f>ROUND(E246*F246,2)</f>
        <v>16.78</v>
      </c>
      <c r="M246" s="76">
        <f t="shared" si="68"/>
        <v>0</v>
      </c>
      <c r="N246" s="76">
        <f t="shared" si="69"/>
        <v>21.4</v>
      </c>
      <c r="O246" s="76">
        <f t="shared" si="70"/>
        <v>0</v>
      </c>
      <c r="P246" s="90">
        <f t="shared" si="56"/>
        <v>1</v>
      </c>
      <c r="Q246" s="51"/>
      <c r="T246" s="53">
        <v>8.39</v>
      </c>
    </row>
    <row r="247" spans="1:20" s="56" customFormat="1" ht="12" x14ac:dyDescent="0.2">
      <c r="A247" s="94">
        <v>89390</v>
      </c>
      <c r="B247" s="73" t="s">
        <v>476</v>
      </c>
      <c r="C247" s="74" t="s">
        <v>477</v>
      </c>
      <c r="D247" s="73" t="s">
        <v>102</v>
      </c>
      <c r="E247" s="75">
        <v>2</v>
      </c>
      <c r="F247" s="75">
        <f>ROUND(T247*$T$10,2)</f>
        <v>12.33</v>
      </c>
      <c r="G247" s="75">
        <f>ROUND(F247*(1+$U$1),2)</f>
        <v>15.73</v>
      </c>
      <c r="H247" s="76">
        <f>ROUND(E247*G247,2)</f>
        <v>31.46</v>
      </c>
      <c r="I247" s="75"/>
      <c r="J247" s="75">
        <v>2</v>
      </c>
      <c r="K247" s="75">
        <f t="shared" si="55"/>
        <v>0</v>
      </c>
      <c r="L247" s="76">
        <f>ROUND(E247*F247,2)</f>
        <v>24.66</v>
      </c>
      <c r="M247" s="76">
        <f t="shared" si="68"/>
        <v>0</v>
      </c>
      <c r="N247" s="76">
        <f t="shared" si="69"/>
        <v>31.46</v>
      </c>
      <c r="O247" s="76">
        <f t="shared" si="70"/>
        <v>0</v>
      </c>
      <c r="P247" s="90">
        <f t="shared" si="56"/>
        <v>1</v>
      </c>
      <c r="Q247" s="51"/>
      <c r="T247" s="53">
        <v>12.33</v>
      </c>
    </row>
    <row r="248" spans="1:20" s="56" customFormat="1" ht="12" x14ac:dyDescent="0.2">
      <c r="A248" s="94">
        <v>89594</v>
      </c>
      <c r="B248" s="73" t="s">
        <v>478</v>
      </c>
      <c r="C248" s="74" t="s">
        <v>479</v>
      </c>
      <c r="D248" s="73" t="s">
        <v>102</v>
      </c>
      <c r="E248" s="75">
        <v>4</v>
      </c>
      <c r="F248" s="75">
        <f>ROUND(T248*$T$10,2)</f>
        <v>21.53</v>
      </c>
      <c r="G248" s="75">
        <f>ROUND(F248*(1+$U$1),2)</f>
        <v>27.47</v>
      </c>
      <c r="H248" s="76">
        <f>ROUND(E248*G248,2)</f>
        <v>109.88</v>
      </c>
      <c r="I248" s="75"/>
      <c r="J248" s="75">
        <v>4</v>
      </c>
      <c r="K248" s="75">
        <f t="shared" si="55"/>
        <v>0</v>
      </c>
      <c r="L248" s="76">
        <f>ROUND(E248*F248,2)</f>
        <v>86.12</v>
      </c>
      <c r="M248" s="76">
        <f t="shared" si="68"/>
        <v>0</v>
      </c>
      <c r="N248" s="76">
        <f t="shared" si="69"/>
        <v>109.88</v>
      </c>
      <c r="O248" s="76">
        <f t="shared" si="70"/>
        <v>0</v>
      </c>
      <c r="P248" s="90">
        <f t="shared" si="56"/>
        <v>1</v>
      </c>
      <c r="Q248" s="51"/>
      <c r="T248" s="53">
        <v>21.53</v>
      </c>
    </row>
    <row r="249" spans="1:20" s="56" customFormat="1" ht="12" x14ac:dyDescent="0.2">
      <c r="A249" s="94">
        <v>89615</v>
      </c>
      <c r="B249" s="73" t="s">
        <v>480</v>
      </c>
      <c r="C249" s="74" t="s">
        <v>481</v>
      </c>
      <c r="D249" s="73" t="s">
        <v>102</v>
      </c>
      <c r="E249" s="75">
        <v>2</v>
      </c>
      <c r="F249" s="75">
        <f>ROUND(T249*$T$10,2)</f>
        <v>133.13999999999999</v>
      </c>
      <c r="G249" s="75">
        <f>ROUND(F249*(1+$U$1),2)</f>
        <v>169.87</v>
      </c>
      <c r="H249" s="76">
        <f>ROUND(E249*G249,2)</f>
        <v>339.74</v>
      </c>
      <c r="I249" s="75"/>
      <c r="J249" s="75">
        <v>2</v>
      </c>
      <c r="K249" s="75">
        <f t="shared" si="55"/>
        <v>0</v>
      </c>
      <c r="L249" s="76">
        <f>ROUND(E249*F249,2)</f>
        <v>266.27999999999997</v>
      </c>
      <c r="M249" s="76">
        <f t="shared" si="68"/>
        <v>0</v>
      </c>
      <c r="N249" s="76">
        <f t="shared" si="69"/>
        <v>339.74</v>
      </c>
      <c r="O249" s="76">
        <f t="shared" si="70"/>
        <v>0</v>
      </c>
      <c r="P249" s="90">
        <f t="shared" si="56"/>
        <v>1</v>
      </c>
      <c r="Q249" s="51"/>
      <c r="T249" s="53">
        <v>133.13999999999999</v>
      </c>
    </row>
    <row r="250" spans="1:20" s="56" customFormat="1" ht="12" x14ac:dyDescent="0.2">
      <c r="A250" s="72"/>
      <c r="B250" s="81">
        <v>41647</v>
      </c>
      <c r="C250" s="71" t="s">
        <v>482</v>
      </c>
      <c r="D250" s="72"/>
      <c r="E250" s="72"/>
      <c r="F250" s="75"/>
      <c r="G250" s="72"/>
      <c r="H250" s="72"/>
      <c r="I250" s="72"/>
      <c r="J250" s="75"/>
      <c r="K250" s="75"/>
      <c r="L250" s="72"/>
      <c r="M250" s="76"/>
      <c r="N250" s="76"/>
      <c r="O250" s="76"/>
      <c r="P250" s="90"/>
      <c r="Q250" s="52"/>
      <c r="T250" s="52"/>
    </row>
    <row r="251" spans="1:20" s="56" customFormat="1" ht="12" x14ac:dyDescent="0.2">
      <c r="A251" s="73" t="s">
        <v>483</v>
      </c>
      <c r="B251" s="73" t="s">
        <v>484</v>
      </c>
      <c r="C251" s="74" t="s">
        <v>485</v>
      </c>
      <c r="D251" s="73" t="s">
        <v>102</v>
      </c>
      <c r="E251" s="75">
        <v>74</v>
      </c>
      <c r="F251" s="75">
        <f>ROUND(T251*$T$10,2)</f>
        <v>1.81</v>
      </c>
      <c r="G251" s="75">
        <f>ROUND(F251*(1+$U$1),2)</f>
        <v>2.31</v>
      </c>
      <c r="H251" s="76">
        <f>ROUND(E251*G251,2)</f>
        <v>170.94</v>
      </c>
      <c r="I251" s="75"/>
      <c r="J251" s="75">
        <v>74</v>
      </c>
      <c r="K251" s="75">
        <f t="shared" si="55"/>
        <v>0</v>
      </c>
      <c r="L251" s="76">
        <f>ROUND(E251*F251,2)</f>
        <v>133.94</v>
      </c>
      <c r="M251" s="76">
        <f t="shared" si="68"/>
        <v>0</v>
      </c>
      <c r="N251" s="76">
        <f t="shared" si="69"/>
        <v>170.94</v>
      </c>
      <c r="O251" s="76">
        <f t="shared" si="70"/>
        <v>0</v>
      </c>
      <c r="P251" s="90">
        <f t="shared" si="56"/>
        <v>1</v>
      </c>
      <c r="Q251" s="51"/>
      <c r="T251" s="53">
        <v>1.81</v>
      </c>
    </row>
    <row r="252" spans="1:20" s="56" customFormat="1" ht="12" x14ac:dyDescent="0.2">
      <c r="A252" s="73" t="s">
        <v>486</v>
      </c>
      <c r="B252" s="73" t="s">
        <v>487</v>
      </c>
      <c r="C252" s="74" t="s">
        <v>488</v>
      </c>
      <c r="D252" s="73" t="s">
        <v>102</v>
      </c>
      <c r="E252" s="75">
        <v>17</v>
      </c>
      <c r="F252" s="75">
        <f>ROUND(T252*$T$10,2)</f>
        <v>2.93</v>
      </c>
      <c r="G252" s="75">
        <f>ROUND(F252*(1+$U$1),2)</f>
        <v>3.74</v>
      </c>
      <c r="H252" s="76">
        <f>ROUND(E252*G252,2)</f>
        <v>63.58</v>
      </c>
      <c r="I252" s="75"/>
      <c r="J252" s="75">
        <v>17</v>
      </c>
      <c r="K252" s="75">
        <f t="shared" si="55"/>
        <v>0</v>
      </c>
      <c r="L252" s="76">
        <f>ROUND(E252*F252,2)</f>
        <v>49.81</v>
      </c>
      <c r="M252" s="76">
        <f t="shared" si="68"/>
        <v>0</v>
      </c>
      <c r="N252" s="76">
        <f t="shared" si="69"/>
        <v>63.580000000000005</v>
      </c>
      <c r="O252" s="76">
        <f t="shared" si="70"/>
        <v>0</v>
      </c>
      <c r="P252" s="90">
        <f t="shared" si="56"/>
        <v>1.0000000000000002</v>
      </c>
      <c r="Q252" s="51"/>
      <c r="T252" s="53">
        <v>2.93</v>
      </c>
    </row>
    <row r="253" spans="1:20" s="56" customFormat="1" ht="12" x14ac:dyDescent="0.2">
      <c r="A253" s="73" t="s">
        <v>78</v>
      </c>
      <c r="B253" s="73" t="s">
        <v>489</v>
      </c>
      <c r="C253" s="74" t="s">
        <v>490</v>
      </c>
      <c r="D253" s="73" t="s">
        <v>102</v>
      </c>
      <c r="E253" s="75">
        <v>23</v>
      </c>
      <c r="F253" s="75">
        <f>ROUND(T253*$T$10,2)</f>
        <v>4.1100000000000003</v>
      </c>
      <c r="G253" s="75">
        <f>ROUND(F253*(1+$U$1),2)</f>
        <v>5.24</v>
      </c>
      <c r="H253" s="76">
        <f>ROUND(E253*G253,2)</f>
        <v>120.52</v>
      </c>
      <c r="I253" s="75"/>
      <c r="J253" s="75">
        <v>23</v>
      </c>
      <c r="K253" s="75">
        <f t="shared" si="55"/>
        <v>0</v>
      </c>
      <c r="L253" s="76">
        <f>ROUND(E253*F253,2)</f>
        <v>94.53</v>
      </c>
      <c r="M253" s="76">
        <f t="shared" si="68"/>
        <v>0</v>
      </c>
      <c r="N253" s="76">
        <f t="shared" si="69"/>
        <v>120.52000000000001</v>
      </c>
      <c r="O253" s="76">
        <f t="shared" si="70"/>
        <v>0</v>
      </c>
      <c r="P253" s="90">
        <f t="shared" si="56"/>
        <v>1.0000000000000002</v>
      </c>
      <c r="Q253" s="51"/>
      <c r="T253" s="53">
        <v>4.1100000000000003</v>
      </c>
    </row>
    <row r="254" spans="1:20" s="56" customFormat="1" ht="12" x14ac:dyDescent="0.2">
      <c r="A254" s="72"/>
      <c r="B254" s="71"/>
      <c r="C254" s="71"/>
      <c r="D254" s="71"/>
      <c r="E254" s="71"/>
      <c r="F254" s="75"/>
      <c r="G254" s="132" t="s">
        <v>1401</v>
      </c>
      <c r="H254" s="78">
        <f>SUM(H192:H253)</f>
        <v>25246.070000000003</v>
      </c>
      <c r="I254" s="71"/>
      <c r="J254" s="75">
        <v>0</v>
      </c>
      <c r="K254" s="75"/>
      <c r="L254" s="78">
        <f>SUM(L192:L253)</f>
        <v>19786.979999999981</v>
      </c>
      <c r="M254" s="78">
        <f>SUM(M192:M253)</f>
        <v>0</v>
      </c>
      <c r="N254" s="78">
        <f>SUM(N192:N253)</f>
        <v>25246.07</v>
      </c>
      <c r="O254" s="78">
        <f>SUM(O192:O253)</f>
        <v>0</v>
      </c>
      <c r="P254" s="91">
        <f t="shared" si="56"/>
        <v>0.99999999999999989</v>
      </c>
      <c r="Q254" s="60"/>
      <c r="T254" s="59"/>
    </row>
    <row r="255" spans="1:20" s="56" customFormat="1" ht="12" x14ac:dyDescent="0.2">
      <c r="A255" s="72"/>
      <c r="B255" s="70" t="s">
        <v>492</v>
      </c>
      <c r="C255" s="71" t="s">
        <v>493</v>
      </c>
      <c r="D255" s="72"/>
      <c r="E255" s="72"/>
      <c r="F255" s="75"/>
      <c r="G255" s="72"/>
      <c r="H255" s="72"/>
      <c r="I255" s="72"/>
      <c r="J255" s="75"/>
      <c r="K255" s="75"/>
      <c r="L255" s="72"/>
      <c r="M255" s="76"/>
      <c r="N255" s="76"/>
      <c r="O255" s="76"/>
      <c r="P255" s="90"/>
      <c r="Q255" s="52"/>
      <c r="T255" s="52"/>
    </row>
    <row r="256" spans="1:20" s="56" customFormat="1" ht="12" x14ac:dyDescent="0.2">
      <c r="A256" s="94">
        <v>86902</v>
      </c>
      <c r="B256" s="73" t="s">
        <v>494</v>
      </c>
      <c r="C256" s="74" t="s">
        <v>495</v>
      </c>
      <c r="D256" s="73" t="s">
        <v>102</v>
      </c>
      <c r="E256" s="75">
        <v>7</v>
      </c>
      <c r="F256" s="75">
        <f t="shared" ref="F256:F309" si="83">ROUND(T256*$T$10,2)</f>
        <v>179.19</v>
      </c>
      <c r="G256" s="75">
        <f t="shared" ref="G256:G309" si="84">ROUND(F256*(1+$U$1),2)</f>
        <v>228.63</v>
      </c>
      <c r="H256" s="76">
        <f t="shared" ref="H256:H309" si="85">ROUND(E256*G256,2)</f>
        <v>1600.41</v>
      </c>
      <c r="I256" s="75">
        <v>7</v>
      </c>
      <c r="J256" s="75">
        <f>I256</f>
        <v>7</v>
      </c>
      <c r="K256" s="75">
        <f t="shared" ref="K256:K319" si="86">E256-J256</f>
        <v>0</v>
      </c>
      <c r="L256" s="76">
        <f t="shared" ref="L256:L309" si="87">ROUND(E256*F256,2)</f>
        <v>1254.33</v>
      </c>
      <c r="M256" s="76">
        <f t="shared" ref="M256:M309" si="88">I256*G256</f>
        <v>1600.4099999999999</v>
      </c>
      <c r="N256" s="76">
        <f t="shared" ref="N256:N309" si="89">J256*G256</f>
        <v>1600.4099999999999</v>
      </c>
      <c r="O256" s="76">
        <f t="shared" ref="O256:O309" si="90">H256-N256</f>
        <v>0</v>
      </c>
      <c r="P256" s="90">
        <f t="shared" ref="P256:P314" si="91">N256/H256</f>
        <v>0.99999999999999989</v>
      </c>
      <c r="Q256" s="51"/>
      <c r="T256" s="53">
        <v>179.19</v>
      </c>
    </row>
    <row r="257" spans="1:20" s="56" customFormat="1" ht="12" x14ac:dyDescent="0.2">
      <c r="A257" s="94">
        <v>86938</v>
      </c>
      <c r="B257" s="73" t="s">
        <v>496</v>
      </c>
      <c r="C257" s="74" t="s">
        <v>497</v>
      </c>
      <c r="D257" s="73" t="s">
        <v>102</v>
      </c>
      <c r="E257" s="75">
        <v>2</v>
      </c>
      <c r="F257" s="75">
        <f t="shared" si="83"/>
        <v>212.03</v>
      </c>
      <c r="G257" s="75">
        <f t="shared" si="84"/>
        <v>270.52999999999997</v>
      </c>
      <c r="H257" s="76">
        <f t="shared" si="85"/>
        <v>541.05999999999995</v>
      </c>
      <c r="I257" s="75"/>
      <c r="J257" s="75">
        <v>2</v>
      </c>
      <c r="K257" s="75">
        <f t="shared" si="86"/>
        <v>0</v>
      </c>
      <c r="L257" s="76">
        <f t="shared" si="87"/>
        <v>424.06</v>
      </c>
      <c r="M257" s="76">
        <f t="shared" si="88"/>
        <v>0</v>
      </c>
      <c r="N257" s="76">
        <f t="shared" si="89"/>
        <v>541.05999999999995</v>
      </c>
      <c r="O257" s="76">
        <f t="shared" si="90"/>
        <v>0</v>
      </c>
      <c r="P257" s="90">
        <f t="shared" si="91"/>
        <v>1</v>
      </c>
      <c r="Q257" s="51"/>
      <c r="T257" s="53">
        <v>212.03</v>
      </c>
    </row>
    <row r="258" spans="1:20" s="56" customFormat="1" ht="12" x14ac:dyDescent="0.2">
      <c r="A258" s="94">
        <v>86901</v>
      </c>
      <c r="B258" s="73" t="s">
        <v>498</v>
      </c>
      <c r="C258" s="74" t="s">
        <v>499</v>
      </c>
      <c r="D258" s="73" t="s">
        <v>102</v>
      </c>
      <c r="E258" s="75">
        <v>2</v>
      </c>
      <c r="F258" s="75">
        <f t="shared" si="83"/>
        <v>101.58</v>
      </c>
      <c r="G258" s="75">
        <f t="shared" si="84"/>
        <v>129.61000000000001</v>
      </c>
      <c r="H258" s="76">
        <f t="shared" si="85"/>
        <v>259.22000000000003</v>
      </c>
      <c r="I258" s="75"/>
      <c r="J258" s="75">
        <v>2</v>
      </c>
      <c r="K258" s="75">
        <f t="shared" si="86"/>
        <v>0</v>
      </c>
      <c r="L258" s="76">
        <f t="shared" si="87"/>
        <v>203.16</v>
      </c>
      <c r="M258" s="76">
        <f t="shared" si="88"/>
        <v>0</v>
      </c>
      <c r="N258" s="76">
        <f t="shared" si="89"/>
        <v>259.22000000000003</v>
      </c>
      <c r="O258" s="76">
        <f t="shared" si="90"/>
        <v>0</v>
      </c>
      <c r="P258" s="90">
        <f t="shared" si="91"/>
        <v>1</v>
      </c>
      <c r="Q258" s="51"/>
      <c r="T258" s="53">
        <v>101.58</v>
      </c>
    </row>
    <row r="259" spans="1:20" s="56" customFormat="1" ht="12" x14ac:dyDescent="0.2">
      <c r="A259" s="73" t="s">
        <v>78</v>
      </c>
      <c r="B259" s="73" t="s">
        <v>500</v>
      </c>
      <c r="C259" s="74" t="s">
        <v>501</v>
      </c>
      <c r="D259" s="73" t="s">
        <v>102</v>
      </c>
      <c r="E259" s="75">
        <v>2</v>
      </c>
      <c r="F259" s="75">
        <f t="shared" si="83"/>
        <v>412.2</v>
      </c>
      <c r="G259" s="75">
        <f t="shared" si="84"/>
        <v>525.92999999999995</v>
      </c>
      <c r="H259" s="76">
        <f t="shared" si="85"/>
        <v>1051.8599999999999</v>
      </c>
      <c r="I259" s="75"/>
      <c r="J259" s="75">
        <v>2</v>
      </c>
      <c r="K259" s="75">
        <f t="shared" si="86"/>
        <v>0</v>
      </c>
      <c r="L259" s="76">
        <f t="shared" si="87"/>
        <v>824.4</v>
      </c>
      <c r="M259" s="76">
        <f t="shared" si="88"/>
        <v>0</v>
      </c>
      <c r="N259" s="76">
        <f t="shared" si="89"/>
        <v>1051.8599999999999</v>
      </c>
      <c r="O259" s="76">
        <f t="shared" si="90"/>
        <v>0</v>
      </c>
      <c r="P259" s="90">
        <f t="shared" si="91"/>
        <v>1</v>
      </c>
      <c r="Q259" s="51"/>
      <c r="T259" s="53">
        <v>412.2</v>
      </c>
    </row>
    <row r="260" spans="1:20" s="56" customFormat="1" ht="12" x14ac:dyDescent="0.2">
      <c r="A260" s="94">
        <v>72739</v>
      </c>
      <c r="B260" s="73" t="s">
        <v>502</v>
      </c>
      <c r="C260" s="74" t="s">
        <v>503</v>
      </c>
      <c r="D260" s="73" t="s">
        <v>102</v>
      </c>
      <c r="E260" s="75">
        <v>12</v>
      </c>
      <c r="F260" s="75">
        <f t="shared" si="83"/>
        <v>348.66</v>
      </c>
      <c r="G260" s="75">
        <f t="shared" si="84"/>
        <v>444.86</v>
      </c>
      <c r="H260" s="76">
        <f t="shared" si="85"/>
        <v>5338.32</v>
      </c>
      <c r="I260" s="75">
        <v>3</v>
      </c>
      <c r="J260" s="75">
        <f>9+I260</f>
        <v>12</v>
      </c>
      <c r="K260" s="75">
        <f t="shared" si="86"/>
        <v>0</v>
      </c>
      <c r="L260" s="76">
        <f t="shared" si="87"/>
        <v>4183.92</v>
      </c>
      <c r="M260" s="76">
        <f t="shared" si="88"/>
        <v>1334.58</v>
      </c>
      <c r="N260" s="76">
        <f t="shared" si="89"/>
        <v>5338.32</v>
      </c>
      <c r="O260" s="76">
        <f t="shared" si="90"/>
        <v>0</v>
      </c>
      <c r="P260" s="90">
        <f t="shared" si="91"/>
        <v>1</v>
      </c>
      <c r="Q260" s="51"/>
      <c r="T260" s="53">
        <v>348.66</v>
      </c>
    </row>
    <row r="261" spans="1:20" s="56" customFormat="1" ht="12" x14ac:dyDescent="0.2">
      <c r="A261" s="94">
        <v>95469</v>
      </c>
      <c r="B261" s="73" t="s">
        <v>504</v>
      </c>
      <c r="C261" s="74" t="s">
        <v>505</v>
      </c>
      <c r="D261" s="73" t="s">
        <v>102</v>
      </c>
      <c r="E261" s="75">
        <v>9</v>
      </c>
      <c r="F261" s="75">
        <f t="shared" si="83"/>
        <v>153.37</v>
      </c>
      <c r="G261" s="75">
        <f t="shared" si="84"/>
        <v>195.68</v>
      </c>
      <c r="H261" s="76">
        <f t="shared" si="85"/>
        <v>1761.12</v>
      </c>
      <c r="I261" s="75"/>
      <c r="J261" s="75">
        <v>9</v>
      </c>
      <c r="K261" s="75">
        <f t="shared" si="86"/>
        <v>0</v>
      </c>
      <c r="L261" s="76">
        <f t="shared" si="87"/>
        <v>1380.33</v>
      </c>
      <c r="M261" s="76">
        <f t="shared" si="88"/>
        <v>0</v>
      </c>
      <c r="N261" s="76">
        <f t="shared" si="89"/>
        <v>1761.1200000000001</v>
      </c>
      <c r="O261" s="76">
        <f t="shared" si="90"/>
        <v>0</v>
      </c>
      <c r="P261" s="90">
        <f t="shared" si="91"/>
        <v>1.0000000000000002</v>
      </c>
      <c r="Q261" s="51"/>
      <c r="T261" s="53">
        <v>153.37</v>
      </c>
    </row>
    <row r="262" spans="1:20" s="56" customFormat="1" ht="12" x14ac:dyDescent="0.2">
      <c r="A262" s="73" t="s">
        <v>78</v>
      </c>
      <c r="B262" s="73" t="s">
        <v>506</v>
      </c>
      <c r="C262" s="74" t="s">
        <v>507</v>
      </c>
      <c r="D262" s="73" t="s">
        <v>102</v>
      </c>
      <c r="E262" s="75">
        <v>2</v>
      </c>
      <c r="F262" s="75">
        <f t="shared" si="83"/>
        <v>62.01</v>
      </c>
      <c r="G262" s="75">
        <f t="shared" si="84"/>
        <v>79.12</v>
      </c>
      <c r="H262" s="76">
        <f t="shared" si="85"/>
        <v>158.24</v>
      </c>
      <c r="I262" s="75">
        <v>2</v>
      </c>
      <c r="J262" s="75">
        <f>I262</f>
        <v>2</v>
      </c>
      <c r="K262" s="75">
        <f t="shared" si="86"/>
        <v>0</v>
      </c>
      <c r="L262" s="76">
        <f t="shared" si="87"/>
        <v>124.02</v>
      </c>
      <c r="M262" s="76">
        <f t="shared" si="88"/>
        <v>158.24</v>
      </c>
      <c r="N262" s="76">
        <f t="shared" si="89"/>
        <v>158.24</v>
      </c>
      <c r="O262" s="76">
        <f t="shared" si="90"/>
        <v>0</v>
      </c>
      <c r="P262" s="90">
        <f t="shared" si="91"/>
        <v>1</v>
      </c>
      <c r="Q262" s="51"/>
      <c r="T262" s="53">
        <v>62.01</v>
      </c>
    </row>
    <row r="263" spans="1:20" s="56" customFormat="1" ht="12" x14ac:dyDescent="0.2">
      <c r="A263" s="73" t="s">
        <v>78</v>
      </c>
      <c r="B263" s="73" t="s">
        <v>508</v>
      </c>
      <c r="C263" s="74" t="s">
        <v>509</v>
      </c>
      <c r="D263" s="73" t="s">
        <v>102</v>
      </c>
      <c r="E263" s="75">
        <v>12</v>
      </c>
      <c r="F263" s="75">
        <f t="shared" si="83"/>
        <v>47.22</v>
      </c>
      <c r="G263" s="75">
        <f t="shared" si="84"/>
        <v>60.25</v>
      </c>
      <c r="H263" s="76">
        <f t="shared" si="85"/>
        <v>723</v>
      </c>
      <c r="I263" s="75">
        <v>12</v>
      </c>
      <c r="J263" s="75">
        <f>I263</f>
        <v>12</v>
      </c>
      <c r="K263" s="75">
        <f t="shared" si="86"/>
        <v>0</v>
      </c>
      <c r="L263" s="76">
        <f t="shared" si="87"/>
        <v>566.64</v>
      </c>
      <c r="M263" s="76">
        <f t="shared" si="88"/>
        <v>723</v>
      </c>
      <c r="N263" s="76">
        <f t="shared" si="89"/>
        <v>723</v>
      </c>
      <c r="O263" s="76">
        <f t="shared" si="90"/>
        <v>0</v>
      </c>
      <c r="P263" s="90">
        <f t="shared" si="91"/>
        <v>1</v>
      </c>
      <c r="Q263" s="51"/>
      <c r="T263" s="53">
        <v>47.22</v>
      </c>
    </row>
    <row r="264" spans="1:20" s="56" customFormat="1" ht="12" x14ac:dyDescent="0.2">
      <c r="A264" s="73" t="s">
        <v>510</v>
      </c>
      <c r="B264" s="73" t="s">
        <v>511</v>
      </c>
      <c r="C264" s="74" t="s">
        <v>512</v>
      </c>
      <c r="D264" s="73" t="s">
        <v>102</v>
      </c>
      <c r="E264" s="75">
        <v>9</v>
      </c>
      <c r="F264" s="75">
        <f t="shared" si="83"/>
        <v>30.39</v>
      </c>
      <c r="G264" s="75">
        <f t="shared" si="84"/>
        <v>38.770000000000003</v>
      </c>
      <c r="H264" s="76">
        <f t="shared" si="85"/>
        <v>348.93</v>
      </c>
      <c r="I264" s="75"/>
      <c r="J264" s="75">
        <v>9</v>
      </c>
      <c r="K264" s="75">
        <f t="shared" si="86"/>
        <v>0</v>
      </c>
      <c r="L264" s="76">
        <f t="shared" si="87"/>
        <v>273.51</v>
      </c>
      <c r="M264" s="76">
        <f t="shared" si="88"/>
        <v>0</v>
      </c>
      <c r="N264" s="76">
        <f t="shared" si="89"/>
        <v>348.93</v>
      </c>
      <c r="O264" s="76">
        <f t="shared" si="90"/>
        <v>0</v>
      </c>
      <c r="P264" s="90">
        <f t="shared" si="91"/>
        <v>1</v>
      </c>
      <c r="Q264" s="51"/>
      <c r="T264" s="53">
        <v>30.39</v>
      </c>
    </row>
    <row r="265" spans="1:20" s="56" customFormat="1" ht="24" x14ac:dyDescent="0.2">
      <c r="A265" s="73" t="s">
        <v>308</v>
      </c>
      <c r="B265" s="73" t="s">
        <v>513</v>
      </c>
      <c r="C265" s="74" t="s">
        <v>514</v>
      </c>
      <c r="D265" s="73" t="s">
        <v>102</v>
      </c>
      <c r="E265" s="75">
        <v>2</v>
      </c>
      <c r="F265" s="75">
        <f t="shared" si="83"/>
        <v>224.79</v>
      </c>
      <c r="G265" s="75">
        <f t="shared" si="84"/>
        <v>286.81</v>
      </c>
      <c r="H265" s="76">
        <f t="shared" si="85"/>
        <v>573.62</v>
      </c>
      <c r="I265" s="75"/>
      <c r="J265" s="75">
        <v>2</v>
      </c>
      <c r="K265" s="75">
        <f t="shared" si="86"/>
        <v>0</v>
      </c>
      <c r="L265" s="76">
        <f t="shared" si="87"/>
        <v>449.58</v>
      </c>
      <c r="M265" s="76">
        <f t="shared" si="88"/>
        <v>0</v>
      </c>
      <c r="N265" s="76">
        <f t="shared" si="89"/>
        <v>573.62</v>
      </c>
      <c r="O265" s="76">
        <f t="shared" si="90"/>
        <v>0</v>
      </c>
      <c r="P265" s="90">
        <f t="shared" si="91"/>
        <v>1</v>
      </c>
      <c r="Q265" s="51"/>
      <c r="T265" s="53">
        <v>224.79</v>
      </c>
    </row>
    <row r="266" spans="1:20" s="56" customFormat="1" ht="24" x14ac:dyDescent="0.2">
      <c r="A266" s="73" t="s">
        <v>308</v>
      </c>
      <c r="B266" s="73" t="s">
        <v>515</v>
      </c>
      <c r="C266" s="74" t="s">
        <v>516</v>
      </c>
      <c r="D266" s="73" t="s">
        <v>102</v>
      </c>
      <c r="E266" s="75">
        <v>8</v>
      </c>
      <c r="F266" s="75">
        <f t="shared" si="83"/>
        <v>170.36</v>
      </c>
      <c r="G266" s="75">
        <f t="shared" si="84"/>
        <v>217.36</v>
      </c>
      <c r="H266" s="76">
        <f t="shared" si="85"/>
        <v>1738.88</v>
      </c>
      <c r="I266" s="75"/>
      <c r="J266" s="75">
        <v>8</v>
      </c>
      <c r="K266" s="75">
        <f t="shared" si="86"/>
        <v>0</v>
      </c>
      <c r="L266" s="76">
        <f t="shared" si="87"/>
        <v>1362.88</v>
      </c>
      <c r="M266" s="76">
        <f t="shared" si="88"/>
        <v>0</v>
      </c>
      <c r="N266" s="76">
        <f t="shared" si="89"/>
        <v>1738.88</v>
      </c>
      <c r="O266" s="76">
        <f t="shared" si="90"/>
        <v>0</v>
      </c>
      <c r="P266" s="90">
        <f t="shared" si="91"/>
        <v>1</v>
      </c>
      <c r="Q266" s="51"/>
      <c r="T266" s="53">
        <v>170.36</v>
      </c>
    </row>
    <row r="267" spans="1:20" s="56" customFormat="1" ht="24" x14ac:dyDescent="0.2">
      <c r="A267" s="73" t="s">
        <v>308</v>
      </c>
      <c r="B267" s="73" t="s">
        <v>517</v>
      </c>
      <c r="C267" s="74" t="s">
        <v>518</v>
      </c>
      <c r="D267" s="73" t="s">
        <v>102</v>
      </c>
      <c r="E267" s="75">
        <v>4</v>
      </c>
      <c r="F267" s="75">
        <f t="shared" si="83"/>
        <v>108</v>
      </c>
      <c r="G267" s="75">
        <f t="shared" si="84"/>
        <v>137.80000000000001</v>
      </c>
      <c r="H267" s="76">
        <f t="shared" si="85"/>
        <v>551.20000000000005</v>
      </c>
      <c r="I267" s="75"/>
      <c r="J267" s="75">
        <v>4</v>
      </c>
      <c r="K267" s="75">
        <f t="shared" si="86"/>
        <v>0</v>
      </c>
      <c r="L267" s="76">
        <f t="shared" si="87"/>
        <v>432</v>
      </c>
      <c r="M267" s="76">
        <f t="shared" si="88"/>
        <v>0</v>
      </c>
      <c r="N267" s="76">
        <f t="shared" si="89"/>
        <v>551.20000000000005</v>
      </c>
      <c r="O267" s="76">
        <f t="shared" si="90"/>
        <v>0</v>
      </c>
      <c r="P267" s="90">
        <f t="shared" si="91"/>
        <v>1</v>
      </c>
      <c r="Q267" s="51"/>
      <c r="T267" s="53">
        <v>108</v>
      </c>
    </row>
    <row r="268" spans="1:20" s="56" customFormat="1" ht="24" x14ac:dyDescent="0.2">
      <c r="A268" s="73" t="s">
        <v>308</v>
      </c>
      <c r="B268" s="73" t="s">
        <v>519</v>
      </c>
      <c r="C268" s="74" t="s">
        <v>520</v>
      </c>
      <c r="D268" s="73" t="s">
        <v>102</v>
      </c>
      <c r="E268" s="75">
        <v>1</v>
      </c>
      <c r="F268" s="75">
        <f t="shared" si="83"/>
        <v>1249</v>
      </c>
      <c r="G268" s="75">
        <f t="shared" si="84"/>
        <v>1593.6</v>
      </c>
      <c r="H268" s="76">
        <f t="shared" si="85"/>
        <v>1593.6</v>
      </c>
      <c r="I268" s="75"/>
      <c r="J268" s="75">
        <v>1</v>
      </c>
      <c r="K268" s="75">
        <f t="shared" si="86"/>
        <v>0</v>
      </c>
      <c r="L268" s="76">
        <f t="shared" si="87"/>
        <v>1249</v>
      </c>
      <c r="M268" s="76">
        <f t="shared" si="88"/>
        <v>0</v>
      </c>
      <c r="N268" s="76">
        <f t="shared" si="89"/>
        <v>1593.6</v>
      </c>
      <c r="O268" s="76">
        <f t="shared" si="90"/>
        <v>0</v>
      </c>
      <c r="P268" s="90">
        <f t="shared" si="91"/>
        <v>1</v>
      </c>
      <c r="Q268" s="51"/>
      <c r="T268" s="51">
        <v>1249</v>
      </c>
    </row>
    <row r="269" spans="1:20" s="56" customFormat="1" ht="12" x14ac:dyDescent="0.2">
      <c r="A269" s="94">
        <v>86909</v>
      </c>
      <c r="B269" s="73" t="s">
        <v>521</v>
      </c>
      <c r="C269" s="74" t="s">
        <v>522</v>
      </c>
      <c r="D269" s="73" t="s">
        <v>102</v>
      </c>
      <c r="E269" s="75">
        <v>7</v>
      </c>
      <c r="F269" s="75">
        <f t="shared" si="83"/>
        <v>74.2</v>
      </c>
      <c r="G269" s="75">
        <f t="shared" si="84"/>
        <v>94.67</v>
      </c>
      <c r="H269" s="76">
        <f t="shared" si="85"/>
        <v>662.69</v>
      </c>
      <c r="I269" s="75"/>
      <c r="J269" s="75">
        <v>7</v>
      </c>
      <c r="K269" s="75">
        <f t="shared" si="86"/>
        <v>0</v>
      </c>
      <c r="L269" s="76">
        <f t="shared" si="87"/>
        <v>519.4</v>
      </c>
      <c r="M269" s="76">
        <f t="shared" si="88"/>
        <v>0</v>
      </c>
      <c r="N269" s="76">
        <f t="shared" si="89"/>
        <v>662.69</v>
      </c>
      <c r="O269" s="76">
        <f t="shared" si="90"/>
        <v>0</v>
      </c>
      <c r="P269" s="90">
        <f t="shared" si="91"/>
        <v>1</v>
      </c>
      <c r="Q269" s="51"/>
      <c r="T269" s="53">
        <v>74.2</v>
      </c>
    </row>
    <row r="270" spans="1:20" s="56" customFormat="1" ht="12" x14ac:dyDescent="0.2">
      <c r="A270" s="94">
        <v>86911</v>
      </c>
      <c r="B270" s="73" t="s">
        <v>523</v>
      </c>
      <c r="C270" s="74" t="s">
        <v>524</v>
      </c>
      <c r="D270" s="73" t="s">
        <v>102</v>
      </c>
      <c r="E270" s="75">
        <v>14</v>
      </c>
      <c r="F270" s="75">
        <f t="shared" si="83"/>
        <v>31.64</v>
      </c>
      <c r="G270" s="75">
        <f t="shared" si="84"/>
        <v>40.369999999999997</v>
      </c>
      <c r="H270" s="76">
        <f t="shared" si="85"/>
        <v>565.17999999999995</v>
      </c>
      <c r="I270" s="75"/>
      <c r="J270" s="75">
        <v>14</v>
      </c>
      <c r="K270" s="75">
        <f t="shared" si="86"/>
        <v>0</v>
      </c>
      <c r="L270" s="76">
        <f t="shared" si="87"/>
        <v>442.96</v>
      </c>
      <c r="M270" s="76">
        <f t="shared" si="88"/>
        <v>0</v>
      </c>
      <c r="N270" s="76">
        <f t="shared" si="89"/>
        <v>565.17999999999995</v>
      </c>
      <c r="O270" s="76">
        <f t="shared" si="90"/>
        <v>0</v>
      </c>
      <c r="P270" s="90">
        <f t="shared" si="91"/>
        <v>1</v>
      </c>
      <c r="Q270" s="51"/>
      <c r="T270" s="53">
        <v>31.64</v>
      </c>
    </row>
    <row r="271" spans="1:20" s="56" customFormat="1" ht="12" x14ac:dyDescent="0.2">
      <c r="A271" s="94">
        <v>86915</v>
      </c>
      <c r="B271" s="73" t="s">
        <v>525</v>
      </c>
      <c r="C271" s="74" t="s">
        <v>526</v>
      </c>
      <c r="D271" s="73" t="s">
        <v>102</v>
      </c>
      <c r="E271" s="75">
        <v>5</v>
      </c>
      <c r="F271" s="75">
        <f t="shared" si="83"/>
        <v>62.36</v>
      </c>
      <c r="G271" s="75">
        <f t="shared" si="84"/>
        <v>79.569999999999993</v>
      </c>
      <c r="H271" s="76">
        <f t="shared" si="85"/>
        <v>397.85</v>
      </c>
      <c r="I271" s="75"/>
      <c r="J271" s="75">
        <v>5</v>
      </c>
      <c r="K271" s="75">
        <f t="shared" si="86"/>
        <v>0</v>
      </c>
      <c r="L271" s="76">
        <f t="shared" si="87"/>
        <v>311.8</v>
      </c>
      <c r="M271" s="76">
        <f t="shared" si="88"/>
        <v>0</v>
      </c>
      <c r="N271" s="76">
        <f t="shared" si="89"/>
        <v>397.84999999999997</v>
      </c>
      <c r="O271" s="76">
        <f t="shared" si="90"/>
        <v>0</v>
      </c>
      <c r="P271" s="90">
        <f t="shared" si="91"/>
        <v>0.99999999999999989</v>
      </c>
      <c r="Q271" s="51"/>
      <c r="T271" s="53">
        <v>62.36</v>
      </c>
    </row>
    <row r="272" spans="1:20" s="56" customFormat="1" ht="12" x14ac:dyDescent="0.2">
      <c r="A272" s="73" t="s">
        <v>527</v>
      </c>
      <c r="B272" s="73" t="s">
        <v>528</v>
      </c>
      <c r="C272" s="74" t="s">
        <v>529</v>
      </c>
      <c r="D272" s="73" t="s">
        <v>102</v>
      </c>
      <c r="E272" s="75">
        <v>3</v>
      </c>
      <c r="F272" s="75">
        <f t="shared" si="83"/>
        <v>100.46</v>
      </c>
      <c r="G272" s="75">
        <f t="shared" si="84"/>
        <v>128.18</v>
      </c>
      <c r="H272" s="76">
        <f t="shared" si="85"/>
        <v>384.54</v>
      </c>
      <c r="I272" s="75">
        <v>3</v>
      </c>
      <c r="J272" s="75">
        <f>I272</f>
        <v>3</v>
      </c>
      <c r="K272" s="75">
        <f t="shared" si="86"/>
        <v>0</v>
      </c>
      <c r="L272" s="76">
        <f t="shared" si="87"/>
        <v>301.38</v>
      </c>
      <c r="M272" s="76">
        <f t="shared" si="88"/>
        <v>384.54</v>
      </c>
      <c r="N272" s="76">
        <f t="shared" si="89"/>
        <v>384.54</v>
      </c>
      <c r="O272" s="76">
        <f t="shared" si="90"/>
        <v>0</v>
      </c>
      <c r="P272" s="90">
        <f t="shared" si="91"/>
        <v>1</v>
      </c>
      <c r="Q272" s="51"/>
      <c r="T272" s="53">
        <v>100.46</v>
      </c>
    </row>
    <row r="273" spans="1:20" s="56" customFormat="1" ht="12" x14ac:dyDescent="0.2">
      <c r="A273" s="94">
        <v>86910</v>
      </c>
      <c r="B273" s="73" t="s">
        <v>530</v>
      </c>
      <c r="C273" s="74" t="s">
        <v>531</v>
      </c>
      <c r="D273" s="73" t="s">
        <v>102</v>
      </c>
      <c r="E273" s="75">
        <v>4</v>
      </c>
      <c r="F273" s="75">
        <f t="shared" si="83"/>
        <v>71</v>
      </c>
      <c r="G273" s="75">
        <f t="shared" si="84"/>
        <v>90.59</v>
      </c>
      <c r="H273" s="76">
        <f t="shared" si="85"/>
        <v>362.36</v>
      </c>
      <c r="I273" s="75"/>
      <c r="J273" s="75">
        <v>4</v>
      </c>
      <c r="K273" s="75">
        <f t="shared" si="86"/>
        <v>0</v>
      </c>
      <c r="L273" s="76">
        <f t="shared" si="87"/>
        <v>284</v>
      </c>
      <c r="M273" s="76">
        <f t="shared" si="88"/>
        <v>0</v>
      </c>
      <c r="N273" s="76">
        <f t="shared" si="89"/>
        <v>362.36</v>
      </c>
      <c r="O273" s="76">
        <f t="shared" si="90"/>
        <v>0</v>
      </c>
      <c r="P273" s="90">
        <f t="shared" si="91"/>
        <v>1</v>
      </c>
      <c r="Q273" s="51"/>
      <c r="T273" s="53">
        <v>71</v>
      </c>
    </row>
    <row r="274" spans="1:20" s="56" customFormat="1" ht="12" x14ac:dyDescent="0.2">
      <c r="A274" s="94">
        <v>86906</v>
      </c>
      <c r="B274" s="73" t="s">
        <v>532</v>
      </c>
      <c r="C274" s="74" t="s">
        <v>533</v>
      </c>
      <c r="D274" s="73" t="s">
        <v>102</v>
      </c>
      <c r="E274" s="75">
        <v>7</v>
      </c>
      <c r="F274" s="75">
        <f t="shared" si="83"/>
        <v>37.18</v>
      </c>
      <c r="G274" s="75">
        <f t="shared" si="84"/>
        <v>47.44</v>
      </c>
      <c r="H274" s="76">
        <f t="shared" si="85"/>
        <v>332.08</v>
      </c>
      <c r="I274" s="75"/>
      <c r="J274" s="75">
        <v>7</v>
      </c>
      <c r="K274" s="75">
        <f t="shared" si="86"/>
        <v>0</v>
      </c>
      <c r="L274" s="76">
        <f t="shared" si="87"/>
        <v>260.26</v>
      </c>
      <c r="M274" s="76">
        <f t="shared" si="88"/>
        <v>0</v>
      </c>
      <c r="N274" s="76">
        <f t="shared" si="89"/>
        <v>332.08</v>
      </c>
      <c r="O274" s="76">
        <f t="shared" si="90"/>
        <v>0</v>
      </c>
      <c r="P274" s="90">
        <f t="shared" si="91"/>
        <v>1</v>
      </c>
      <c r="Q274" s="51"/>
      <c r="T274" s="53">
        <v>37.18</v>
      </c>
    </row>
    <row r="275" spans="1:20" s="56" customFormat="1" ht="12" x14ac:dyDescent="0.2">
      <c r="A275" s="94">
        <v>86913</v>
      </c>
      <c r="B275" s="73" t="s">
        <v>534</v>
      </c>
      <c r="C275" s="74" t="s">
        <v>535</v>
      </c>
      <c r="D275" s="73" t="s">
        <v>102</v>
      </c>
      <c r="E275" s="75">
        <v>6</v>
      </c>
      <c r="F275" s="75">
        <f t="shared" si="83"/>
        <v>14.42</v>
      </c>
      <c r="G275" s="75">
        <f t="shared" si="84"/>
        <v>18.399999999999999</v>
      </c>
      <c r="H275" s="76">
        <f t="shared" si="85"/>
        <v>110.4</v>
      </c>
      <c r="I275" s="75"/>
      <c r="J275" s="75">
        <v>6</v>
      </c>
      <c r="K275" s="75">
        <f t="shared" si="86"/>
        <v>0</v>
      </c>
      <c r="L275" s="76">
        <f t="shared" si="87"/>
        <v>86.52</v>
      </c>
      <c r="M275" s="76">
        <f t="shared" si="88"/>
        <v>0</v>
      </c>
      <c r="N275" s="76">
        <f t="shared" si="89"/>
        <v>110.39999999999999</v>
      </c>
      <c r="O275" s="76">
        <f t="shared" si="90"/>
        <v>0</v>
      </c>
      <c r="P275" s="90">
        <f t="shared" si="91"/>
        <v>0.99999999999999989</v>
      </c>
      <c r="Q275" s="51"/>
      <c r="T275" s="53">
        <v>14.42</v>
      </c>
    </row>
    <row r="276" spans="1:20" s="56" customFormat="1" ht="12" x14ac:dyDescent="0.2">
      <c r="A276" s="73" t="s">
        <v>536</v>
      </c>
      <c r="B276" s="73" t="s">
        <v>537</v>
      </c>
      <c r="C276" s="74" t="s">
        <v>538</v>
      </c>
      <c r="D276" s="73" t="s">
        <v>102</v>
      </c>
      <c r="E276" s="75">
        <v>11</v>
      </c>
      <c r="F276" s="75">
        <f t="shared" si="83"/>
        <v>22.57</v>
      </c>
      <c r="G276" s="75">
        <f t="shared" si="84"/>
        <v>28.8</v>
      </c>
      <c r="H276" s="76">
        <f t="shared" si="85"/>
        <v>316.8</v>
      </c>
      <c r="I276" s="75"/>
      <c r="J276" s="75">
        <v>11</v>
      </c>
      <c r="K276" s="75">
        <f t="shared" si="86"/>
        <v>0</v>
      </c>
      <c r="L276" s="76">
        <f t="shared" si="87"/>
        <v>248.27</v>
      </c>
      <c r="M276" s="76">
        <f t="shared" si="88"/>
        <v>0</v>
      </c>
      <c r="N276" s="76">
        <f t="shared" si="89"/>
        <v>316.8</v>
      </c>
      <c r="O276" s="76">
        <f t="shared" si="90"/>
        <v>0</v>
      </c>
      <c r="P276" s="90">
        <f t="shared" si="91"/>
        <v>1</v>
      </c>
      <c r="Q276" s="51"/>
      <c r="T276" s="53">
        <v>22.57</v>
      </c>
    </row>
    <row r="277" spans="1:20" s="56" customFormat="1" ht="12" x14ac:dyDescent="0.2">
      <c r="A277" s="94">
        <v>94796</v>
      </c>
      <c r="B277" s="73" t="s">
        <v>539</v>
      </c>
      <c r="C277" s="74" t="s">
        <v>540</v>
      </c>
      <c r="D277" s="73" t="s">
        <v>102</v>
      </c>
      <c r="E277" s="75">
        <v>1</v>
      </c>
      <c r="F277" s="75">
        <f t="shared" si="83"/>
        <v>26.75</v>
      </c>
      <c r="G277" s="75">
        <f t="shared" si="84"/>
        <v>34.130000000000003</v>
      </c>
      <c r="H277" s="76">
        <f t="shared" si="85"/>
        <v>34.130000000000003</v>
      </c>
      <c r="I277" s="75">
        <v>1</v>
      </c>
      <c r="J277" s="75">
        <f>I277</f>
        <v>1</v>
      </c>
      <c r="K277" s="75">
        <f t="shared" si="86"/>
        <v>0</v>
      </c>
      <c r="L277" s="76">
        <f t="shared" si="87"/>
        <v>26.75</v>
      </c>
      <c r="M277" s="76">
        <f t="shared" si="88"/>
        <v>34.130000000000003</v>
      </c>
      <c r="N277" s="76">
        <f t="shared" si="89"/>
        <v>34.130000000000003</v>
      </c>
      <c r="O277" s="76">
        <f t="shared" si="90"/>
        <v>0</v>
      </c>
      <c r="P277" s="90">
        <f t="shared" si="91"/>
        <v>1</v>
      </c>
      <c r="Q277" s="51"/>
      <c r="T277" s="53">
        <v>26.75</v>
      </c>
    </row>
    <row r="278" spans="1:20" s="56" customFormat="1" ht="12" x14ac:dyDescent="0.2">
      <c r="A278" s="94">
        <v>89985</v>
      </c>
      <c r="B278" s="73" t="s">
        <v>541</v>
      </c>
      <c r="C278" s="74" t="s">
        <v>542</v>
      </c>
      <c r="D278" s="73" t="s">
        <v>102</v>
      </c>
      <c r="E278" s="75">
        <v>19</v>
      </c>
      <c r="F278" s="75">
        <f t="shared" si="83"/>
        <v>61.1</v>
      </c>
      <c r="G278" s="75">
        <f t="shared" si="84"/>
        <v>77.959999999999994</v>
      </c>
      <c r="H278" s="76">
        <f t="shared" si="85"/>
        <v>1481.24</v>
      </c>
      <c r="I278" s="75"/>
      <c r="J278" s="75">
        <v>19</v>
      </c>
      <c r="K278" s="75">
        <f t="shared" si="86"/>
        <v>0</v>
      </c>
      <c r="L278" s="76">
        <f t="shared" si="87"/>
        <v>1160.9000000000001</v>
      </c>
      <c r="M278" s="76">
        <f t="shared" si="88"/>
        <v>0</v>
      </c>
      <c r="N278" s="76">
        <f t="shared" si="89"/>
        <v>1481.2399999999998</v>
      </c>
      <c r="O278" s="76">
        <f t="shared" si="90"/>
        <v>0</v>
      </c>
      <c r="P278" s="90">
        <f t="shared" si="91"/>
        <v>0.99999999999999989</v>
      </c>
      <c r="Q278" s="51"/>
      <c r="T278" s="53">
        <v>61.1</v>
      </c>
    </row>
    <row r="279" spans="1:20" s="56" customFormat="1" ht="12" x14ac:dyDescent="0.2">
      <c r="A279" s="94">
        <v>89351</v>
      </c>
      <c r="B279" s="73" t="s">
        <v>543</v>
      </c>
      <c r="C279" s="74" t="s">
        <v>544</v>
      </c>
      <c r="D279" s="73" t="s">
        <v>102</v>
      </c>
      <c r="E279" s="75">
        <v>5</v>
      </c>
      <c r="F279" s="75">
        <f t="shared" si="83"/>
        <v>24.75</v>
      </c>
      <c r="G279" s="75">
        <f t="shared" si="84"/>
        <v>31.58</v>
      </c>
      <c r="H279" s="76">
        <f t="shared" si="85"/>
        <v>157.9</v>
      </c>
      <c r="I279" s="75"/>
      <c r="J279" s="75">
        <v>5</v>
      </c>
      <c r="K279" s="75">
        <f t="shared" si="86"/>
        <v>0</v>
      </c>
      <c r="L279" s="76">
        <f t="shared" si="87"/>
        <v>123.75</v>
      </c>
      <c r="M279" s="76">
        <f t="shared" si="88"/>
        <v>0</v>
      </c>
      <c r="N279" s="76">
        <f t="shared" si="89"/>
        <v>157.89999999999998</v>
      </c>
      <c r="O279" s="76">
        <f t="shared" si="90"/>
        <v>0</v>
      </c>
      <c r="P279" s="90">
        <f t="shared" si="91"/>
        <v>0.99999999999999978</v>
      </c>
      <c r="Q279" s="51"/>
      <c r="T279" s="53">
        <v>24.75</v>
      </c>
    </row>
    <row r="280" spans="1:20" s="56" customFormat="1" ht="12" x14ac:dyDescent="0.2">
      <c r="A280" s="73" t="s">
        <v>545</v>
      </c>
      <c r="B280" s="73" t="s">
        <v>546</v>
      </c>
      <c r="C280" s="74" t="s">
        <v>547</v>
      </c>
      <c r="D280" s="73" t="s">
        <v>102</v>
      </c>
      <c r="E280" s="75">
        <v>8</v>
      </c>
      <c r="F280" s="75">
        <f t="shared" si="83"/>
        <v>40.06</v>
      </c>
      <c r="G280" s="75">
        <f t="shared" si="84"/>
        <v>51.11</v>
      </c>
      <c r="H280" s="76">
        <f t="shared" si="85"/>
        <v>408.88</v>
      </c>
      <c r="I280" s="75"/>
      <c r="J280" s="75">
        <v>8</v>
      </c>
      <c r="K280" s="75">
        <f t="shared" si="86"/>
        <v>0</v>
      </c>
      <c r="L280" s="76">
        <f t="shared" si="87"/>
        <v>320.48</v>
      </c>
      <c r="M280" s="76">
        <f t="shared" si="88"/>
        <v>0</v>
      </c>
      <c r="N280" s="76">
        <f t="shared" si="89"/>
        <v>408.88</v>
      </c>
      <c r="O280" s="76">
        <f t="shared" si="90"/>
        <v>0</v>
      </c>
      <c r="P280" s="90">
        <f t="shared" si="91"/>
        <v>1</v>
      </c>
      <c r="Q280" s="51"/>
      <c r="T280" s="53">
        <v>40.06</v>
      </c>
    </row>
    <row r="281" spans="1:20" s="56" customFormat="1" ht="12" x14ac:dyDescent="0.2">
      <c r="A281" s="73" t="s">
        <v>548</v>
      </c>
      <c r="B281" s="73" t="s">
        <v>549</v>
      </c>
      <c r="C281" s="74" t="s">
        <v>550</v>
      </c>
      <c r="D281" s="73" t="s">
        <v>102</v>
      </c>
      <c r="E281" s="75">
        <v>6</v>
      </c>
      <c r="F281" s="75">
        <f t="shared" si="83"/>
        <v>71.88</v>
      </c>
      <c r="G281" s="75">
        <f t="shared" si="84"/>
        <v>91.71</v>
      </c>
      <c r="H281" s="76">
        <f t="shared" si="85"/>
        <v>550.26</v>
      </c>
      <c r="I281" s="75"/>
      <c r="J281" s="75">
        <v>6</v>
      </c>
      <c r="K281" s="75">
        <f t="shared" si="86"/>
        <v>0</v>
      </c>
      <c r="L281" s="76">
        <f t="shared" si="87"/>
        <v>431.28</v>
      </c>
      <c r="M281" s="76">
        <f t="shared" si="88"/>
        <v>0</v>
      </c>
      <c r="N281" s="76">
        <f t="shared" si="89"/>
        <v>550.26</v>
      </c>
      <c r="O281" s="76">
        <f t="shared" si="90"/>
        <v>0</v>
      </c>
      <c r="P281" s="90">
        <f t="shared" si="91"/>
        <v>1</v>
      </c>
      <c r="Q281" s="51"/>
      <c r="T281" s="53">
        <v>71.88</v>
      </c>
    </row>
    <row r="282" spans="1:20" s="56" customFormat="1" ht="12" x14ac:dyDescent="0.2">
      <c r="A282" s="73" t="s">
        <v>551</v>
      </c>
      <c r="B282" s="73" t="s">
        <v>552</v>
      </c>
      <c r="C282" s="74" t="s">
        <v>553</v>
      </c>
      <c r="D282" s="73" t="s">
        <v>102</v>
      </c>
      <c r="E282" s="75">
        <v>5</v>
      </c>
      <c r="F282" s="75">
        <f t="shared" si="83"/>
        <v>267.62</v>
      </c>
      <c r="G282" s="75">
        <f t="shared" si="84"/>
        <v>341.46</v>
      </c>
      <c r="H282" s="76">
        <f t="shared" si="85"/>
        <v>1707.3</v>
      </c>
      <c r="I282" s="75"/>
      <c r="J282" s="75">
        <v>5</v>
      </c>
      <c r="K282" s="75">
        <f t="shared" si="86"/>
        <v>0</v>
      </c>
      <c r="L282" s="76">
        <f t="shared" si="87"/>
        <v>1338.1</v>
      </c>
      <c r="M282" s="76">
        <f t="shared" si="88"/>
        <v>0</v>
      </c>
      <c r="N282" s="76">
        <f t="shared" si="89"/>
        <v>1707.3</v>
      </c>
      <c r="O282" s="76">
        <f t="shared" si="90"/>
        <v>0</v>
      </c>
      <c r="P282" s="90">
        <f t="shared" si="91"/>
        <v>1</v>
      </c>
      <c r="Q282" s="51"/>
      <c r="T282" s="53">
        <v>267.62</v>
      </c>
    </row>
    <row r="283" spans="1:20" s="56" customFormat="1" ht="12" x14ac:dyDescent="0.2">
      <c r="A283" s="94">
        <v>89987</v>
      </c>
      <c r="B283" s="73" t="s">
        <v>554</v>
      </c>
      <c r="C283" s="74" t="s">
        <v>555</v>
      </c>
      <c r="D283" s="73" t="s">
        <v>102</v>
      </c>
      <c r="E283" s="75">
        <v>39</v>
      </c>
      <c r="F283" s="75">
        <f t="shared" si="83"/>
        <v>64.260000000000005</v>
      </c>
      <c r="G283" s="75">
        <f t="shared" si="84"/>
        <v>81.99</v>
      </c>
      <c r="H283" s="76">
        <f t="shared" si="85"/>
        <v>3197.61</v>
      </c>
      <c r="I283" s="75"/>
      <c r="J283" s="75">
        <v>39</v>
      </c>
      <c r="K283" s="75">
        <f t="shared" si="86"/>
        <v>0</v>
      </c>
      <c r="L283" s="76">
        <f t="shared" si="87"/>
        <v>2506.14</v>
      </c>
      <c r="M283" s="76">
        <f t="shared" si="88"/>
        <v>0</v>
      </c>
      <c r="N283" s="76">
        <f t="shared" si="89"/>
        <v>3197.6099999999997</v>
      </c>
      <c r="O283" s="76">
        <f t="shared" si="90"/>
        <v>0</v>
      </c>
      <c r="P283" s="90">
        <f t="shared" si="91"/>
        <v>0.99999999999999989</v>
      </c>
      <c r="Q283" s="51"/>
      <c r="T283" s="53">
        <v>64.260000000000005</v>
      </c>
    </row>
    <row r="284" spans="1:20" s="56" customFormat="1" ht="12" x14ac:dyDescent="0.2">
      <c r="A284" s="94">
        <v>94792</v>
      </c>
      <c r="B284" s="73" t="s">
        <v>556</v>
      </c>
      <c r="C284" s="74" t="s">
        <v>557</v>
      </c>
      <c r="D284" s="73" t="s">
        <v>102</v>
      </c>
      <c r="E284" s="75">
        <v>10</v>
      </c>
      <c r="F284" s="75">
        <f t="shared" si="83"/>
        <v>92.77</v>
      </c>
      <c r="G284" s="75">
        <f t="shared" si="84"/>
        <v>118.37</v>
      </c>
      <c r="H284" s="76">
        <f t="shared" si="85"/>
        <v>1183.7</v>
      </c>
      <c r="I284" s="75"/>
      <c r="J284" s="75">
        <v>10</v>
      </c>
      <c r="K284" s="75">
        <f t="shared" si="86"/>
        <v>0</v>
      </c>
      <c r="L284" s="76">
        <f t="shared" si="87"/>
        <v>927.7</v>
      </c>
      <c r="M284" s="76">
        <f t="shared" si="88"/>
        <v>0</v>
      </c>
      <c r="N284" s="76">
        <f t="shared" si="89"/>
        <v>1183.7</v>
      </c>
      <c r="O284" s="76">
        <f t="shared" si="90"/>
        <v>0</v>
      </c>
      <c r="P284" s="90">
        <f t="shared" si="91"/>
        <v>1</v>
      </c>
      <c r="Q284" s="51"/>
      <c r="T284" s="53">
        <v>92.77</v>
      </c>
    </row>
    <row r="285" spans="1:20" s="56" customFormat="1" ht="12" x14ac:dyDescent="0.2">
      <c r="A285" s="94">
        <v>94794</v>
      </c>
      <c r="B285" s="73" t="s">
        <v>558</v>
      </c>
      <c r="C285" s="74" t="s">
        <v>559</v>
      </c>
      <c r="D285" s="73" t="s">
        <v>102</v>
      </c>
      <c r="E285" s="75">
        <v>12</v>
      </c>
      <c r="F285" s="75">
        <f t="shared" si="83"/>
        <v>124.23</v>
      </c>
      <c r="G285" s="75">
        <f t="shared" si="84"/>
        <v>158.51</v>
      </c>
      <c r="H285" s="76">
        <f t="shared" si="85"/>
        <v>1902.12</v>
      </c>
      <c r="I285" s="75"/>
      <c r="J285" s="75">
        <v>12</v>
      </c>
      <c r="K285" s="75">
        <f t="shared" si="86"/>
        <v>0</v>
      </c>
      <c r="L285" s="76">
        <f t="shared" si="87"/>
        <v>1490.76</v>
      </c>
      <c r="M285" s="76">
        <f t="shared" si="88"/>
        <v>0</v>
      </c>
      <c r="N285" s="76">
        <f t="shared" si="89"/>
        <v>1902.12</v>
      </c>
      <c r="O285" s="76">
        <f t="shared" si="90"/>
        <v>0</v>
      </c>
      <c r="P285" s="90">
        <f t="shared" si="91"/>
        <v>1</v>
      </c>
      <c r="Q285" s="51"/>
      <c r="T285" s="53">
        <v>124.23</v>
      </c>
    </row>
    <row r="286" spans="1:20" s="56" customFormat="1" ht="12" x14ac:dyDescent="0.2">
      <c r="A286" s="73" t="s">
        <v>78</v>
      </c>
      <c r="B286" s="73" t="s">
        <v>560</v>
      </c>
      <c r="C286" s="74" t="s">
        <v>561</v>
      </c>
      <c r="D286" s="73" t="s">
        <v>102</v>
      </c>
      <c r="E286" s="75">
        <v>11</v>
      </c>
      <c r="F286" s="75">
        <f t="shared" si="83"/>
        <v>20.3</v>
      </c>
      <c r="G286" s="75">
        <f t="shared" si="84"/>
        <v>25.9</v>
      </c>
      <c r="H286" s="76">
        <f t="shared" si="85"/>
        <v>284.89999999999998</v>
      </c>
      <c r="I286" s="75">
        <v>7</v>
      </c>
      <c r="J286" s="75">
        <f>4+I286</f>
        <v>11</v>
      </c>
      <c r="K286" s="75">
        <f t="shared" si="86"/>
        <v>0</v>
      </c>
      <c r="L286" s="76">
        <f t="shared" si="87"/>
        <v>223.3</v>
      </c>
      <c r="M286" s="76">
        <f t="shared" si="88"/>
        <v>181.29999999999998</v>
      </c>
      <c r="N286" s="76">
        <f t="shared" si="89"/>
        <v>284.89999999999998</v>
      </c>
      <c r="O286" s="76">
        <f t="shared" si="90"/>
        <v>0</v>
      </c>
      <c r="P286" s="90">
        <f t="shared" si="91"/>
        <v>1</v>
      </c>
      <c r="Q286" s="51"/>
      <c r="T286" s="53">
        <v>20.3</v>
      </c>
    </row>
    <row r="287" spans="1:20" s="56" customFormat="1" ht="12" x14ac:dyDescent="0.2">
      <c r="A287" s="73" t="s">
        <v>78</v>
      </c>
      <c r="B287" s="73" t="s">
        <v>562</v>
      </c>
      <c r="C287" s="74" t="s">
        <v>563</v>
      </c>
      <c r="D287" s="73" t="s">
        <v>102</v>
      </c>
      <c r="E287" s="75">
        <v>7</v>
      </c>
      <c r="F287" s="75">
        <f t="shared" si="83"/>
        <v>25.99</v>
      </c>
      <c r="G287" s="75">
        <f t="shared" si="84"/>
        <v>33.159999999999997</v>
      </c>
      <c r="H287" s="76">
        <f t="shared" si="85"/>
        <v>232.12</v>
      </c>
      <c r="I287" s="75"/>
      <c r="J287" s="75">
        <v>7</v>
      </c>
      <c r="K287" s="75">
        <f t="shared" si="86"/>
        <v>0</v>
      </c>
      <c r="L287" s="76">
        <f t="shared" si="87"/>
        <v>181.93</v>
      </c>
      <c r="M287" s="76">
        <f t="shared" si="88"/>
        <v>0</v>
      </c>
      <c r="N287" s="76">
        <f t="shared" si="89"/>
        <v>232.11999999999998</v>
      </c>
      <c r="O287" s="76">
        <f t="shared" si="90"/>
        <v>0</v>
      </c>
      <c r="P287" s="90">
        <f t="shared" si="91"/>
        <v>0.99999999999999989</v>
      </c>
      <c r="Q287" s="51"/>
      <c r="T287" s="53">
        <v>25.99</v>
      </c>
    </row>
    <row r="288" spans="1:20" s="56" customFormat="1" ht="12" x14ac:dyDescent="0.2">
      <c r="A288" s="94">
        <v>9535</v>
      </c>
      <c r="B288" s="73" t="s">
        <v>564</v>
      </c>
      <c r="C288" s="74" t="s">
        <v>565</v>
      </c>
      <c r="D288" s="73" t="s">
        <v>102</v>
      </c>
      <c r="E288" s="75">
        <v>12</v>
      </c>
      <c r="F288" s="75">
        <f t="shared" si="83"/>
        <v>56.12</v>
      </c>
      <c r="G288" s="75">
        <f t="shared" si="84"/>
        <v>71.599999999999994</v>
      </c>
      <c r="H288" s="76">
        <f t="shared" si="85"/>
        <v>859.2</v>
      </c>
      <c r="I288" s="75">
        <v>12</v>
      </c>
      <c r="J288" s="75">
        <f>I288</f>
        <v>12</v>
      </c>
      <c r="K288" s="75">
        <f t="shared" si="86"/>
        <v>0</v>
      </c>
      <c r="L288" s="76">
        <f t="shared" si="87"/>
        <v>673.44</v>
      </c>
      <c r="M288" s="76">
        <f t="shared" si="88"/>
        <v>859.19999999999993</v>
      </c>
      <c r="N288" s="76">
        <f t="shared" si="89"/>
        <v>859.19999999999993</v>
      </c>
      <c r="O288" s="76">
        <f t="shared" si="90"/>
        <v>0</v>
      </c>
      <c r="P288" s="90">
        <f t="shared" si="91"/>
        <v>0.99999999999999989</v>
      </c>
      <c r="Q288" s="51"/>
      <c r="T288" s="53">
        <v>56.12</v>
      </c>
    </row>
    <row r="289" spans="1:20" s="56" customFormat="1" ht="12" x14ac:dyDescent="0.2">
      <c r="A289" s="73" t="s">
        <v>308</v>
      </c>
      <c r="B289" s="73" t="s">
        <v>566</v>
      </c>
      <c r="C289" s="74" t="s">
        <v>567</v>
      </c>
      <c r="D289" s="73" t="s">
        <v>102</v>
      </c>
      <c r="E289" s="75">
        <v>4</v>
      </c>
      <c r="F289" s="75">
        <f t="shared" si="83"/>
        <v>40.85</v>
      </c>
      <c r="G289" s="75">
        <f t="shared" si="84"/>
        <v>52.12</v>
      </c>
      <c r="H289" s="76">
        <f t="shared" si="85"/>
        <v>208.48</v>
      </c>
      <c r="I289" s="75">
        <v>4</v>
      </c>
      <c r="J289" s="75">
        <f t="shared" ref="J289:J291" si="92">I289</f>
        <v>4</v>
      </c>
      <c r="K289" s="75">
        <f t="shared" si="86"/>
        <v>0</v>
      </c>
      <c r="L289" s="76">
        <f t="shared" si="87"/>
        <v>163.4</v>
      </c>
      <c r="M289" s="76">
        <f t="shared" si="88"/>
        <v>208.48</v>
      </c>
      <c r="N289" s="76">
        <f t="shared" si="89"/>
        <v>208.48</v>
      </c>
      <c r="O289" s="76">
        <f t="shared" si="90"/>
        <v>0</v>
      </c>
      <c r="P289" s="90">
        <f t="shared" si="91"/>
        <v>1</v>
      </c>
      <c r="Q289" s="51"/>
      <c r="T289" s="53">
        <v>40.85</v>
      </c>
    </row>
    <row r="290" spans="1:20" s="56" customFormat="1" ht="12" x14ac:dyDescent="0.2">
      <c r="A290" s="94">
        <v>9535</v>
      </c>
      <c r="B290" s="73" t="s">
        <v>568</v>
      </c>
      <c r="C290" s="74" t="s">
        <v>569</v>
      </c>
      <c r="D290" s="73" t="s">
        <v>102</v>
      </c>
      <c r="E290" s="75">
        <v>4</v>
      </c>
      <c r="F290" s="75">
        <f t="shared" si="83"/>
        <v>56.21</v>
      </c>
      <c r="G290" s="75">
        <f t="shared" si="84"/>
        <v>71.72</v>
      </c>
      <c r="H290" s="76">
        <f t="shared" si="85"/>
        <v>286.88</v>
      </c>
      <c r="I290" s="75">
        <v>4</v>
      </c>
      <c r="J290" s="75">
        <f t="shared" si="92"/>
        <v>4</v>
      </c>
      <c r="K290" s="75">
        <f t="shared" si="86"/>
        <v>0</v>
      </c>
      <c r="L290" s="76">
        <f t="shared" si="87"/>
        <v>224.84</v>
      </c>
      <c r="M290" s="76">
        <f t="shared" si="88"/>
        <v>286.88</v>
      </c>
      <c r="N290" s="76">
        <f t="shared" si="89"/>
        <v>286.88</v>
      </c>
      <c r="O290" s="76">
        <f t="shared" si="90"/>
        <v>0</v>
      </c>
      <c r="P290" s="90">
        <f t="shared" si="91"/>
        <v>1</v>
      </c>
      <c r="Q290" s="51"/>
      <c r="T290" s="53">
        <v>56.21</v>
      </c>
    </row>
    <row r="291" spans="1:20" s="56" customFormat="1" ht="12" x14ac:dyDescent="0.2">
      <c r="A291" s="73" t="s">
        <v>78</v>
      </c>
      <c r="B291" s="73" t="s">
        <v>570</v>
      </c>
      <c r="C291" s="74" t="s">
        <v>571</v>
      </c>
      <c r="D291" s="73" t="s">
        <v>102</v>
      </c>
      <c r="E291" s="75">
        <v>5</v>
      </c>
      <c r="F291" s="75">
        <f t="shared" si="83"/>
        <v>132.01</v>
      </c>
      <c r="G291" s="75">
        <f t="shared" si="84"/>
        <v>168.43</v>
      </c>
      <c r="H291" s="76">
        <f t="shared" si="85"/>
        <v>842.15</v>
      </c>
      <c r="I291" s="75">
        <v>5</v>
      </c>
      <c r="J291" s="75">
        <f t="shared" si="92"/>
        <v>5</v>
      </c>
      <c r="K291" s="75">
        <f t="shared" si="86"/>
        <v>0</v>
      </c>
      <c r="L291" s="76">
        <f t="shared" si="87"/>
        <v>660.05</v>
      </c>
      <c r="M291" s="76">
        <f t="shared" si="88"/>
        <v>842.15000000000009</v>
      </c>
      <c r="N291" s="76">
        <f t="shared" si="89"/>
        <v>842.15000000000009</v>
      </c>
      <c r="O291" s="76">
        <f t="shared" si="90"/>
        <v>0</v>
      </c>
      <c r="P291" s="90">
        <f t="shared" si="91"/>
        <v>1.0000000000000002</v>
      </c>
      <c r="Q291" s="51"/>
      <c r="T291" s="53">
        <v>132.01</v>
      </c>
    </row>
    <row r="292" spans="1:20" s="56" customFormat="1" ht="24" x14ac:dyDescent="0.2">
      <c r="A292" s="94">
        <v>40729</v>
      </c>
      <c r="B292" s="73" t="s">
        <v>572</v>
      </c>
      <c r="C292" s="74" t="s">
        <v>573</v>
      </c>
      <c r="D292" s="73" t="s">
        <v>102</v>
      </c>
      <c r="E292" s="75">
        <v>23</v>
      </c>
      <c r="F292" s="75">
        <f t="shared" si="83"/>
        <v>218.15</v>
      </c>
      <c r="G292" s="75">
        <f t="shared" si="84"/>
        <v>278.33999999999997</v>
      </c>
      <c r="H292" s="76">
        <f t="shared" si="85"/>
        <v>6401.82</v>
      </c>
      <c r="I292" s="75"/>
      <c r="J292" s="75">
        <v>23</v>
      </c>
      <c r="K292" s="75">
        <f t="shared" si="86"/>
        <v>0</v>
      </c>
      <c r="L292" s="76">
        <f t="shared" si="87"/>
        <v>5017.45</v>
      </c>
      <c r="M292" s="76">
        <f t="shared" si="88"/>
        <v>0</v>
      </c>
      <c r="N292" s="76">
        <f t="shared" si="89"/>
        <v>6401.82</v>
      </c>
      <c r="O292" s="76">
        <f t="shared" si="90"/>
        <v>0</v>
      </c>
      <c r="P292" s="90">
        <f t="shared" si="91"/>
        <v>1</v>
      </c>
      <c r="Q292" s="51"/>
      <c r="T292" s="53">
        <v>218.15</v>
      </c>
    </row>
    <row r="293" spans="1:20" s="56" customFormat="1" ht="12" x14ac:dyDescent="0.2">
      <c r="A293" s="73" t="s">
        <v>308</v>
      </c>
      <c r="B293" s="73" t="s">
        <v>574</v>
      </c>
      <c r="C293" s="74" t="s">
        <v>575</v>
      </c>
      <c r="D293" s="73" t="s">
        <v>102</v>
      </c>
      <c r="E293" s="75">
        <v>1</v>
      </c>
      <c r="F293" s="75">
        <f t="shared" si="83"/>
        <v>5800</v>
      </c>
      <c r="G293" s="75">
        <f t="shared" si="84"/>
        <v>7400.22</v>
      </c>
      <c r="H293" s="76">
        <f t="shared" si="85"/>
        <v>7400.22</v>
      </c>
      <c r="I293" s="75"/>
      <c r="J293" s="75">
        <v>1</v>
      </c>
      <c r="K293" s="75">
        <f t="shared" si="86"/>
        <v>0</v>
      </c>
      <c r="L293" s="76">
        <f t="shared" si="87"/>
        <v>5800</v>
      </c>
      <c r="M293" s="76">
        <f t="shared" si="88"/>
        <v>0</v>
      </c>
      <c r="N293" s="76">
        <f t="shared" si="89"/>
        <v>7400.22</v>
      </c>
      <c r="O293" s="76">
        <f t="shared" si="90"/>
        <v>0</v>
      </c>
      <c r="P293" s="90">
        <f t="shared" si="91"/>
        <v>1</v>
      </c>
      <c r="Q293" s="51"/>
      <c r="T293" s="51">
        <v>5800</v>
      </c>
    </row>
    <row r="294" spans="1:20" s="56" customFormat="1" ht="12" x14ac:dyDescent="0.2">
      <c r="A294" s="73" t="s">
        <v>308</v>
      </c>
      <c r="B294" s="73" t="s">
        <v>576</v>
      </c>
      <c r="C294" s="74" t="s">
        <v>577</v>
      </c>
      <c r="D294" s="73" t="s">
        <v>102</v>
      </c>
      <c r="E294" s="75">
        <v>23</v>
      </c>
      <c r="F294" s="75">
        <f t="shared" si="83"/>
        <v>7.69</v>
      </c>
      <c r="G294" s="75">
        <f t="shared" si="84"/>
        <v>9.81</v>
      </c>
      <c r="H294" s="76">
        <f t="shared" si="85"/>
        <v>225.63</v>
      </c>
      <c r="I294" s="75"/>
      <c r="J294" s="75">
        <v>23</v>
      </c>
      <c r="K294" s="75">
        <f t="shared" si="86"/>
        <v>0</v>
      </c>
      <c r="L294" s="76">
        <f t="shared" si="87"/>
        <v>176.87</v>
      </c>
      <c r="M294" s="76">
        <f t="shared" si="88"/>
        <v>0</v>
      </c>
      <c r="N294" s="76">
        <f t="shared" si="89"/>
        <v>225.63000000000002</v>
      </c>
      <c r="O294" s="76">
        <f t="shared" si="90"/>
        <v>0</v>
      </c>
      <c r="P294" s="90">
        <f t="shared" si="91"/>
        <v>1.0000000000000002</v>
      </c>
      <c r="Q294" s="51"/>
      <c r="T294" s="53">
        <v>7.69</v>
      </c>
    </row>
    <row r="295" spans="1:20" s="56" customFormat="1" ht="12" x14ac:dyDescent="0.2">
      <c r="A295" s="73" t="s">
        <v>578</v>
      </c>
      <c r="B295" s="73" t="s">
        <v>579</v>
      </c>
      <c r="C295" s="74" t="s">
        <v>580</v>
      </c>
      <c r="D295" s="73" t="s">
        <v>102</v>
      </c>
      <c r="E295" s="75">
        <v>1</v>
      </c>
      <c r="F295" s="75">
        <f t="shared" si="83"/>
        <v>7.69</v>
      </c>
      <c r="G295" s="75">
        <f t="shared" si="84"/>
        <v>9.81</v>
      </c>
      <c r="H295" s="76">
        <f t="shared" si="85"/>
        <v>9.81</v>
      </c>
      <c r="I295" s="75">
        <v>1</v>
      </c>
      <c r="J295" s="75">
        <f>I295</f>
        <v>1</v>
      </c>
      <c r="K295" s="75">
        <f t="shared" si="86"/>
        <v>0</v>
      </c>
      <c r="L295" s="76">
        <f t="shared" si="87"/>
        <v>7.69</v>
      </c>
      <c r="M295" s="76">
        <f t="shared" si="88"/>
        <v>9.81</v>
      </c>
      <c r="N295" s="76">
        <f t="shared" si="89"/>
        <v>9.81</v>
      </c>
      <c r="O295" s="76">
        <f t="shared" si="90"/>
        <v>0</v>
      </c>
      <c r="P295" s="90">
        <f t="shared" si="91"/>
        <v>1</v>
      </c>
      <c r="Q295" s="51"/>
      <c r="T295" s="53">
        <v>7.69</v>
      </c>
    </row>
    <row r="296" spans="1:20" s="56" customFormat="1" ht="12" x14ac:dyDescent="0.2">
      <c r="A296" s="73" t="s">
        <v>581</v>
      </c>
      <c r="B296" s="73" t="s">
        <v>582</v>
      </c>
      <c r="C296" s="74" t="s">
        <v>583</v>
      </c>
      <c r="D296" s="73" t="s">
        <v>102</v>
      </c>
      <c r="E296" s="75">
        <v>1</v>
      </c>
      <c r="F296" s="75">
        <f t="shared" si="83"/>
        <v>44.58</v>
      </c>
      <c r="G296" s="75">
        <f t="shared" si="84"/>
        <v>56.88</v>
      </c>
      <c r="H296" s="76">
        <f t="shared" si="85"/>
        <v>56.88</v>
      </c>
      <c r="I296" s="75">
        <v>1</v>
      </c>
      <c r="J296" s="75">
        <f>I296</f>
        <v>1</v>
      </c>
      <c r="K296" s="75">
        <f t="shared" si="86"/>
        <v>0</v>
      </c>
      <c r="L296" s="76">
        <f t="shared" si="87"/>
        <v>44.58</v>
      </c>
      <c r="M296" s="76">
        <f t="shared" si="88"/>
        <v>56.88</v>
      </c>
      <c r="N296" s="76">
        <f t="shared" si="89"/>
        <v>56.88</v>
      </c>
      <c r="O296" s="76">
        <f t="shared" si="90"/>
        <v>0</v>
      </c>
      <c r="P296" s="90">
        <f t="shared" si="91"/>
        <v>1</v>
      </c>
      <c r="Q296" s="51"/>
      <c r="T296" s="53">
        <v>44.58</v>
      </c>
    </row>
    <row r="297" spans="1:20" s="56" customFormat="1" ht="12" x14ac:dyDescent="0.2">
      <c r="A297" s="73" t="s">
        <v>584</v>
      </c>
      <c r="B297" s="73" t="s">
        <v>585</v>
      </c>
      <c r="C297" s="74" t="s">
        <v>586</v>
      </c>
      <c r="D297" s="73" t="s">
        <v>102</v>
      </c>
      <c r="E297" s="75">
        <v>9</v>
      </c>
      <c r="F297" s="75">
        <f t="shared" si="83"/>
        <v>95.78</v>
      </c>
      <c r="G297" s="75">
        <f t="shared" si="84"/>
        <v>122.21</v>
      </c>
      <c r="H297" s="76">
        <f t="shared" si="85"/>
        <v>1099.8900000000001</v>
      </c>
      <c r="I297" s="75"/>
      <c r="J297" s="75">
        <v>9</v>
      </c>
      <c r="K297" s="75">
        <f t="shared" si="86"/>
        <v>0</v>
      </c>
      <c r="L297" s="76">
        <f t="shared" si="87"/>
        <v>862.02</v>
      </c>
      <c r="M297" s="76">
        <f t="shared" si="88"/>
        <v>0</v>
      </c>
      <c r="N297" s="76">
        <f t="shared" si="89"/>
        <v>1099.8899999999999</v>
      </c>
      <c r="O297" s="76">
        <f t="shared" si="90"/>
        <v>0</v>
      </c>
      <c r="P297" s="90">
        <f t="shared" si="91"/>
        <v>0.99999999999999978</v>
      </c>
      <c r="Q297" s="51"/>
      <c r="T297" s="53">
        <v>95.78</v>
      </c>
    </row>
    <row r="298" spans="1:20" s="56" customFormat="1" ht="12" x14ac:dyDescent="0.2">
      <c r="A298" s="73" t="s">
        <v>78</v>
      </c>
      <c r="B298" s="73" t="s">
        <v>587</v>
      </c>
      <c r="C298" s="74" t="s">
        <v>588</v>
      </c>
      <c r="D298" s="73" t="s">
        <v>102</v>
      </c>
      <c r="E298" s="75">
        <v>1</v>
      </c>
      <c r="F298" s="75">
        <f t="shared" si="83"/>
        <v>1067.05</v>
      </c>
      <c r="G298" s="75">
        <f t="shared" si="84"/>
        <v>1361.45</v>
      </c>
      <c r="H298" s="76">
        <f t="shared" si="85"/>
        <v>1361.45</v>
      </c>
      <c r="I298" s="75"/>
      <c r="J298" s="75">
        <v>1</v>
      </c>
      <c r="K298" s="75">
        <f t="shared" si="86"/>
        <v>0</v>
      </c>
      <c r="L298" s="76">
        <f t="shared" si="87"/>
        <v>1067.05</v>
      </c>
      <c r="M298" s="76">
        <f t="shared" si="88"/>
        <v>0</v>
      </c>
      <c r="N298" s="76">
        <f t="shared" si="89"/>
        <v>1361.45</v>
      </c>
      <c r="O298" s="76">
        <f t="shared" si="90"/>
        <v>0</v>
      </c>
      <c r="P298" s="90">
        <f t="shared" si="91"/>
        <v>1</v>
      </c>
      <c r="Q298" s="51"/>
      <c r="T298" s="51">
        <v>1067.05</v>
      </c>
    </row>
    <row r="299" spans="1:20" s="56" customFormat="1" ht="12" x14ac:dyDescent="0.2">
      <c r="A299" s="73" t="s">
        <v>308</v>
      </c>
      <c r="B299" s="73" t="s">
        <v>589</v>
      </c>
      <c r="C299" s="74" t="s">
        <v>590</v>
      </c>
      <c r="D299" s="73" t="s">
        <v>102</v>
      </c>
      <c r="E299" s="75">
        <v>9</v>
      </c>
      <c r="F299" s="75">
        <f t="shared" si="83"/>
        <v>49.99</v>
      </c>
      <c r="G299" s="75">
        <f t="shared" si="84"/>
        <v>63.78</v>
      </c>
      <c r="H299" s="76">
        <f t="shared" si="85"/>
        <v>574.02</v>
      </c>
      <c r="I299" s="75">
        <v>1</v>
      </c>
      <c r="J299" s="75">
        <f>I299</f>
        <v>1</v>
      </c>
      <c r="K299" s="75">
        <f t="shared" si="86"/>
        <v>8</v>
      </c>
      <c r="L299" s="76">
        <f t="shared" si="87"/>
        <v>449.91</v>
      </c>
      <c r="M299" s="76">
        <f t="shared" si="88"/>
        <v>63.78</v>
      </c>
      <c r="N299" s="76">
        <f t="shared" si="89"/>
        <v>63.78</v>
      </c>
      <c r="O299" s="76">
        <f t="shared" si="90"/>
        <v>510.24</v>
      </c>
      <c r="P299" s="90">
        <f t="shared" si="91"/>
        <v>0.11111111111111112</v>
      </c>
      <c r="Q299" s="51"/>
      <c r="T299" s="53">
        <v>49.99</v>
      </c>
    </row>
    <row r="300" spans="1:20" s="56" customFormat="1" ht="12" x14ac:dyDescent="0.2">
      <c r="A300" s="73" t="s">
        <v>308</v>
      </c>
      <c r="B300" s="73" t="s">
        <v>591</v>
      </c>
      <c r="C300" s="74" t="s">
        <v>592</v>
      </c>
      <c r="D300" s="73" t="s">
        <v>102</v>
      </c>
      <c r="E300" s="75">
        <v>2</v>
      </c>
      <c r="F300" s="75">
        <f t="shared" si="83"/>
        <v>205.99</v>
      </c>
      <c r="G300" s="75">
        <f t="shared" si="84"/>
        <v>262.82</v>
      </c>
      <c r="H300" s="76">
        <f t="shared" si="85"/>
        <v>525.64</v>
      </c>
      <c r="I300" s="75"/>
      <c r="J300" s="75">
        <v>2</v>
      </c>
      <c r="K300" s="75">
        <f t="shared" si="86"/>
        <v>0</v>
      </c>
      <c r="L300" s="76">
        <f t="shared" si="87"/>
        <v>411.98</v>
      </c>
      <c r="M300" s="76">
        <f t="shared" si="88"/>
        <v>0</v>
      </c>
      <c r="N300" s="76">
        <f t="shared" si="89"/>
        <v>525.64</v>
      </c>
      <c r="O300" s="76">
        <f t="shared" si="90"/>
        <v>0</v>
      </c>
      <c r="P300" s="90">
        <f t="shared" si="91"/>
        <v>1</v>
      </c>
      <c r="Q300" s="51"/>
      <c r="T300" s="53">
        <v>205.99</v>
      </c>
    </row>
    <row r="301" spans="1:20" s="56" customFormat="1" ht="12" x14ac:dyDescent="0.2">
      <c r="A301" s="73" t="s">
        <v>308</v>
      </c>
      <c r="B301" s="73" t="s">
        <v>593</v>
      </c>
      <c r="C301" s="74" t="s">
        <v>594</v>
      </c>
      <c r="D301" s="73" t="s">
        <v>102</v>
      </c>
      <c r="E301" s="75">
        <v>6</v>
      </c>
      <c r="F301" s="75">
        <f t="shared" si="83"/>
        <v>0.17</v>
      </c>
      <c r="G301" s="75">
        <f t="shared" si="84"/>
        <v>0.22</v>
      </c>
      <c r="H301" s="76">
        <f t="shared" si="85"/>
        <v>1.32</v>
      </c>
      <c r="I301" s="75"/>
      <c r="J301" s="75">
        <v>6</v>
      </c>
      <c r="K301" s="75">
        <f t="shared" si="86"/>
        <v>0</v>
      </c>
      <c r="L301" s="76">
        <f t="shared" si="87"/>
        <v>1.02</v>
      </c>
      <c r="M301" s="76">
        <f t="shared" si="88"/>
        <v>0</v>
      </c>
      <c r="N301" s="76">
        <f t="shared" si="89"/>
        <v>1.32</v>
      </c>
      <c r="O301" s="76">
        <f t="shared" si="90"/>
        <v>0</v>
      </c>
      <c r="P301" s="90">
        <f t="shared" si="91"/>
        <v>1</v>
      </c>
      <c r="Q301" s="51"/>
      <c r="T301" s="53">
        <v>0.17</v>
      </c>
    </row>
    <row r="302" spans="1:20" s="56" customFormat="1" ht="12" x14ac:dyDescent="0.2">
      <c r="A302" s="73" t="s">
        <v>308</v>
      </c>
      <c r="B302" s="73" t="s">
        <v>595</v>
      </c>
      <c r="C302" s="74" t="s">
        <v>596</v>
      </c>
      <c r="D302" s="73" t="s">
        <v>102</v>
      </c>
      <c r="E302" s="75">
        <v>13</v>
      </c>
      <c r="F302" s="75">
        <f t="shared" si="83"/>
        <v>0.25</v>
      </c>
      <c r="G302" s="75">
        <f t="shared" si="84"/>
        <v>0.32</v>
      </c>
      <c r="H302" s="76">
        <f t="shared" si="85"/>
        <v>4.16</v>
      </c>
      <c r="I302" s="75"/>
      <c r="J302" s="75">
        <v>13</v>
      </c>
      <c r="K302" s="75">
        <f t="shared" si="86"/>
        <v>0</v>
      </c>
      <c r="L302" s="76">
        <f t="shared" si="87"/>
        <v>3.25</v>
      </c>
      <c r="M302" s="76">
        <f t="shared" si="88"/>
        <v>0</v>
      </c>
      <c r="N302" s="76">
        <f t="shared" si="89"/>
        <v>4.16</v>
      </c>
      <c r="O302" s="76">
        <f t="shared" si="90"/>
        <v>0</v>
      </c>
      <c r="P302" s="90">
        <f t="shared" si="91"/>
        <v>1</v>
      </c>
      <c r="Q302" s="51"/>
      <c r="T302" s="53">
        <v>0.25</v>
      </c>
    </row>
    <row r="303" spans="1:20" s="56" customFormat="1" ht="12" x14ac:dyDescent="0.2">
      <c r="A303" s="73" t="s">
        <v>308</v>
      </c>
      <c r="B303" s="73" t="s">
        <v>597</v>
      </c>
      <c r="C303" s="74" t="s">
        <v>598</v>
      </c>
      <c r="D303" s="73" t="s">
        <v>102</v>
      </c>
      <c r="E303" s="75">
        <v>13</v>
      </c>
      <c r="F303" s="75">
        <f t="shared" si="83"/>
        <v>0.54</v>
      </c>
      <c r="G303" s="75">
        <f t="shared" si="84"/>
        <v>0.69</v>
      </c>
      <c r="H303" s="76">
        <f t="shared" si="85"/>
        <v>8.9700000000000006</v>
      </c>
      <c r="I303" s="75"/>
      <c r="J303" s="75">
        <v>13</v>
      </c>
      <c r="K303" s="75">
        <f t="shared" si="86"/>
        <v>0</v>
      </c>
      <c r="L303" s="76">
        <f t="shared" si="87"/>
        <v>7.02</v>
      </c>
      <c r="M303" s="76">
        <f t="shared" si="88"/>
        <v>0</v>
      </c>
      <c r="N303" s="76">
        <f t="shared" si="89"/>
        <v>8.9699999999999989</v>
      </c>
      <c r="O303" s="76">
        <f t="shared" si="90"/>
        <v>0</v>
      </c>
      <c r="P303" s="90">
        <f t="shared" si="91"/>
        <v>0.99999999999999978</v>
      </c>
      <c r="Q303" s="51"/>
      <c r="T303" s="53">
        <v>0.54</v>
      </c>
    </row>
    <row r="304" spans="1:20" s="56" customFormat="1" ht="12" x14ac:dyDescent="0.2">
      <c r="A304" s="73" t="s">
        <v>308</v>
      </c>
      <c r="B304" s="73" t="s">
        <v>599</v>
      </c>
      <c r="C304" s="74" t="s">
        <v>600</v>
      </c>
      <c r="D304" s="73" t="s">
        <v>102</v>
      </c>
      <c r="E304" s="75">
        <v>20</v>
      </c>
      <c r="F304" s="75">
        <f t="shared" si="83"/>
        <v>0.62</v>
      </c>
      <c r="G304" s="75">
        <f t="shared" si="84"/>
        <v>0.79</v>
      </c>
      <c r="H304" s="76">
        <f t="shared" si="85"/>
        <v>15.8</v>
      </c>
      <c r="I304" s="75"/>
      <c r="J304" s="75">
        <v>20</v>
      </c>
      <c r="K304" s="75">
        <f t="shared" si="86"/>
        <v>0</v>
      </c>
      <c r="L304" s="76">
        <f t="shared" si="87"/>
        <v>12.4</v>
      </c>
      <c r="M304" s="76">
        <f t="shared" si="88"/>
        <v>0</v>
      </c>
      <c r="N304" s="76">
        <f t="shared" si="89"/>
        <v>15.8</v>
      </c>
      <c r="O304" s="76">
        <f t="shared" si="90"/>
        <v>0</v>
      </c>
      <c r="P304" s="90">
        <f t="shared" si="91"/>
        <v>1</v>
      </c>
      <c r="Q304" s="51"/>
      <c r="T304" s="53">
        <v>0.62</v>
      </c>
    </row>
    <row r="305" spans="1:20" s="56" customFormat="1" ht="12" x14ac:dyDescent="0.2">
      <c r="A305" s="73" t="s">
        <v>308</v>
      </c>
      <c r="B305" s="73" t="s">
        <v>601</v>
      </c>
      <c r="C305" s="74" t="s">
        <v>602</v>
      </c>
      <c r="D305" s="73" t="s">
        <v>102</v>
      </c>
      <c r="E305" s="75">
        <v>8</v>
      </c>
      <c r="F305" s="75">
        <f t="shared" si="83"/>
        <v>1.95</v>
      </c>
      <c r="G305" s="75">
        <f t="shared" si="84"/>
        <v>2.4900000000000002</v>
      </c>
      <c r="H305" s="76">
        <f t="shared" si="85"/>
        <v>19.920000000000002</v>
      </c>
      <c r="I305" s="75"/>
      <c r="J305" s="75">
        <v>8</v>
      </c>
      <c r="K305" s="75">
        <f t="shared" si="86"/>
        <v>0</v>
      </c>
      <c r="L305" s="76">
        <f t="shared" si="87"/>
        <v>15.6</v>
      </c>
      <c r="M305" s="76">
        <f t="shared" si="88"/>
        <v>0</v>
      </c>
      <c r="N305" s="76">
        <f t="shared" si="89"/>
        <v>19.920000000000002</v>
      </c>
      <c r="O305" s="76">
        <f t="shared" si="90"/>
        <v>0</v>
      </c>
      <c r="P305" s="90">
        <f t="shared" si="91"/>
        <v>1</v>
      </c>
      <c r="Q305" s="51"/>
      <c r="T305" s="53">
        <v>1.95</v>
      </c>
    </row>
    <row r="306" spans="1:20" s="56" customFormat="1" ht="12" x14ac:dyDescent="0.2">
      <c r="A306" s="94">
        <v>95547</v>
      </c>
      <c r="B306" s="73" t="s">
        <v>603</v>
      </c>
      <c r="C306" s="74" t="s">
        <v>604</v>
      </c>
      <c r="D306" s="73" t="s">
        <v>102</v>
      </c>
      <c r="E306" s="75">
        <v>32</v>
      </c>
      <c r="F306" s="75">
        <f t="shared" si="83"/>
        <v>48.53</v>
      </c>
      <c r="G306" s="75">
        <f t="shared" si="84"/>
        <v>61.92</v>
      </c>
      <c r="H306" s="76">
        <f t="shared" si="85"/>
        <v>1981.44</v>
      </c>
      <c r="I306" s="75">
        <v>32</v>
      </c>
      <c r="J306" s="75">
        <f>I306</f>
        <v>32</v>
      </c>
      <c r="K306" s="75">
        <f t="shared" si="86"/>
        <v>0</v>
      </c>
      <c r="L306" s="76">
        <f t="shared" si="87"/>
        <v>1552.96</v>
      </c>
      <c r="M306" s="76">
        <f t="shared" si="88"/>
        <v>1981.44</v>
      </c>
      <c r="N306" s="76">
        <f t="shared" si="89"/>
        <v>1981.44</v>
      </c>
      <c r="O306" s="76">
        <f t="shared" si="90"/>
        <v>0</v>
      </c>
      <c r="P306" s="90">
        <f t="shared" si="91"/>
        <v>1</v>
      </c>
      <c r="Q306" s="51"/>
      <c r="T306" s="53">
        <v>48.53</v>
      </c>
    </row>
    <row r="307" spans="1:20" s="56" customFormat="1" ht="12" x14ac:dyDescent="0.2">
      <c r="A307" s="94">
        <v>95542</v>
      </c>
      <c r="B307" s="73" t="s">
        <v>605</v>
      </c>
      <c r="C307" s="74" t="s">
        <v>606</v>
      </c>
      <c r="D307" s="73" t="s">
        <v>102</v>
      </c>
      <c r="E307" s="75">
        <v>30</v>
      </c>
      <c r="F307" s="75">
        <f t="shared" si="83"/>
        <v>16.57</v>
      </c>
      <c r="G307" s="75">
        <f t="shared" si="84"/>
        <v>21.14</v>
      </c>
      <c r="H307" s="76">
        <f t="shared" si="85"/>
        <v>634.20000000000005</v>
      </c>
      <c r="I307" s="75">
        <v>30</v>
      </c>
      <c r="J307" s="75">
        <f t="shared" ref="J307:J309" si="93">I307</f>
        <v>30</v>
      </c>
      <c r="K307" s="75">
        <f t="shared" si="86"/>
        <v>0</v>
      </c>
      <c r="L307" s="76">
        <f t="shared" si="87"/>
        <v>497.1</v>
      </c>
      <c r="M307" s="76">
        <f t="shared" si="88"/>
        <v>634.20000000000005</v>
      </c>
      <c r="N307" s="76">
        <f t="shared" si="89"/>
        <v>634.20000000000005</v>
      </c>
      <c r="O307" s="76">
        <f t="shared" si="90"/>
        <v>0</v>
      </c>
      <c r="P307" s="90">
        <f t="shared" si="91"/>
        <v>1</v>
      </c>
      <c r="Q307" s="51"/>
      <c r="T307" s="53">
        <v>16.57</v>
      </c>
    </row>
    <row r="308" spans="1:20" s="56" customFormat="1" ht="12" x14ac:dyDescent="0.2">
      <c r="A308" s="73" t="s">
        <v>607</v>
      </c>
      <c r="B308" s="73" t="s">
        <v>608</v>
      </c>
      <c r="C308" s="74" t="s">
        <v>609</v>
      </c>
      <c r="D308" s="73" t="s">
        <v>102</v>
      </c>
      <c r="E308" s="75">
        <v>23</v>
      </c>
      <c r="F308" s="75">
        <f t="shared" si="83"/>
        <v>37.58</v>
      </c>
      <c r="G308" s="75">
        <f t="shared" si="84"/>
        <v>47.95</v>
      </c>
      <c r="H308" s="76">
        <f t="shared" si="85"/>
        <v>1102.8499999999999</v>
      </c>
      <c r="I308" s="75">
        <v>23</v>
      </c>
      <c r="J308" s="75">
        <f t="shared" si="93"/>
        <v>23</v>
      </c>
      <c r="K308" s="75">
        <f t="shared" si="86"/>
        <v>0</v>
      </c>
      <c r="L308" s="76">
        <f t="shared" si="87"/>
        <v>864.34</v>
      </c>
      <c r="M308" s="76">
        <f t="shared" si="88"/>
        <v>1102.8500000000001</v>
      </c>
      <c r="N308" s="76">
        <f t="shared" si="89"/>
        <v>1102.8500000000001</v>
      </c>
      <c r="O308" s="76">
        <f t="shared" si="90"/>
        <v>0</v>
      </c>
      <c r="P308" s="90">
        <f t="shared" si="91"/>
        <v>1.0000000000000002</v>
      </c>
      <c r="Q308" s="51"/>
      <c r="T308" s="53">
        <v>37.58</v>
      </c>
    </row>
    <row r="309" spans="1:20" s="56" customFormat="1" ht="12" x14ac:dyDescent="0.2">
      <c r="A309" s="73" t="s">
        <v>610</v>
      </c>
      <c r="B309" s="73" t="s">
        <v>611</v>
      </c>
      <c r="C309" s="74" t="s">
        <v>612</v>
      </c>
      <c r="D309" s="73" t="s">
        <v>102</v>
      </c>
      <c r="E309" s="75">
        <v>17</v>
      </c>
      <c r="F309" s="75">
        <f t="shared" si="83"/>
        <v>30.88</v>
      </c>
      <c r="G309" s="75">
        <f t="shared" si="84"/>
        <v>39.4</v>
      </c>
      <c r="H309" s="76">
        <f t="shared" si="85"/>
        <v>669.8</v>
      </c>
      <c r="I309" s="75">
        <v>17</v>
      </c>
      <c r="J309" s="75">
        <f t="shared" si="93"/>
        <v>17</v>
      </c>
      <c r="K309" s="75">
        <f t="shared" si="86"/>
        <v>0</v>
      </c>
      <c r="L309" s="76">
        <f t="shared" si="87"/>
        <v>524.96</v>
      </c>
      <c r="M309" s="76">
        <f t="shared" si="88"/>
        <v>669.8</v>
      </c>
      <c r="N309" s="76">
        <f t="shared" si="89"/>
        <v>669.8</v>
      </c>
      <c r="O309" s="76">
        <f t="shared" si="90"/>
        <v>0</v>
      </c>
      <c r="P309" s="90">
        <f t="shared" si="91"/>
        <v>1</v>
      </c>
      <c r="Q309" s="51"/>
      <c r="T309" s="53">
        <v>30.88</v>
      </c>
    </row>
    <row r="310" spans="1:20" s="56" customFormat="1" ht="12" x14ac:dyDescent="0.2">
      <c r="A310" s="72"/>
      <c r="B310" s="71"/>
      <c r="C310" s="71"/>
      <c r="D310" s="71"/>
      <c r="E310" s="71"/>
      <c r="F310" s="75"/>
      <c r="G310" s="77" t="s">
        <v>613</v>
      </c>
      <c r="H310" s="78">
        <f>SUM(H256:H309)</f>
        <v>54802.05</v>
      </c>
      <c r="I310" s="71"/>
      <c r="J310" s="75"/>
      <c r="K310" s="75"/>
      <c r="L310" s="78">
        <f>SUM(L256:L309)</f>
        <v>42951.439999999995</v>
      </c>
      <c r="M310" s="78">
        <f>SUM(M256:M309)</f>
        <v>11131.67</v>
      </c>
      <c r="N310" s="78">
        <f>SUM(N256:N309)</f>
        <v>54291.81</v>
      </c>
      <c r="O310" s="78">
        <f>SUM(O256:O309)</f>
        <v>510.24</v>
      </c>
      <c r="P310" s="91">
        <f t="shared" si="91"/>
        <v>0.99068939939290579</v>
      </c>
      <c r="Q310" s="60"/>
      <c r="T310" s="59"/>
    </row>
    <row r="311" spans="1:20" s="56" customFormat="1" ht="12" x14ac:dyDescent="0.2">
      <c r="A311" s="72"/>
      <c r="B311" s="70" t="s">
        <v>614</v>
      </c>
      <c r="C311" s="71" t="s">
        <v>615</v>
      </c>
      <c r="D311" s="72"/>
      <c r="E311" s="72"/>
      <c r="F311" s="75"/>
      <c r="G311" s="72"/>
      <c r="H311" s="72"/>
      <c r="I311" s="72"/>
      <c r="J311" s="75"/>
      <c r="K311" s="72"/>
      <c r="L311" s="72"/>
      <c r="M311" s="72"/>
      <c r="N311" s="72"/>
      <c r="O311" s="72"/>
      <c r="P311" s="72"/>
      <c r="Q311" s="52"/>
      <c r="T311" s="52"/>
    </row>
    <row r="312" spans="1:20" s="56" customFormat="1" ht="24" x14ac:dyDescent="0.2">
      <c r="A312" s="73" t="s">
        <v>78</v>
      </c>
      <c r="B312" s="73" t="s">
        <v>616</v>
      </c>
      <c r="C312" s="74" t="s">
        <v>617</v>
      </c>
      <c r="D312" s="73" t="s">
        <v>102</v>
      </c>
      <c r="E312" s="75">
        <v>2</v>
      </c>
      <c r="F312" s="75">
        <f>ROUND(T312*$T$10,2)</f>
        <v>1100.49</v>
      </c>
      <c r="G312" s="75">
        <f>ROUND(F312*(1+$U$1),2)</f>
        <v>1404.12</v>
      </c>
      <c r="H312" s="76">
        <f>ROUND(E312*G312,2)</f>
        <v>2808.24</v>
      </c>
      <c r="I312" s="75">
        <v>2</v>
      </c>
      <c r="J312" s="75">
        <f>I312</f>
        <v>2</v>
      </c>
      <c r="K312" s="75">
        <f t="shared" si="86"/>
        <v>0</v>
      </c>
      <c r="L312" s="76">
        <f>ROUND(E312*F312,2)</f>
        <v>2200.98</v>
      </c>
      <c r="M312" s="76">
        <f>I312*G312</f>
        <v>2808.24</v>
      </c>
      <c r="N312" s="76">
        <f>J312*G312</f>
        <v>2808.24</v>
      </c>
      <c r="O312" s="76">
        <f>H312-N312</f>
        <v>0</v>
      </c>
      <c r="P312" s="90">
        <f t="shared" si="91"/>
        <v>1</v>
      </c>
      <c r="Q312" s="51"/>
      <c r="T312" s="51">
        <v>1100.49</v>
      </c>
    </row>
    <row r="313" spans="1:20" s="56" customFormat="1" ht="12" x14ac:dyDescent="0.2">
      <c r="A313" s="73" t="s">
        <v>308</v>
      </c>
      <c r="B313" s="73" t="s">
        <v>618</v>
      </c>
      <c r="C313" s="74" t="s">
        <v>619</v>
      </c>
      <c r="D313" s="73" t="s">
        <v>102</v>
      </c>
      <c r="E313" s="75">
        <v>1</v>
      </c>
      <c r="F313" s="75">
        <f>ROUND(T313*$T$10,2)</f>
        <v>33</v>
      </c>
      <c r="G313" s="75">
        <f>ROUND(F313*(1+$U$1),2)</f>
        <v>42.1</v>
      </c>
      <c r="H313" s="76">
        <f>ROUND(E313*G313,2)</f>
        <v>42.1</v>
      </c>
      <c r="I313" s="75">
        <v>1</v>
      </c>
      <c r="J313" s="75">
        <f t="shared" ref="J313:J314" si="94">I313</f>
        <v>1</v>
      </c>
      <c r="K313" s="75">
        <f t="shared" si="86"/>
        <v>0</v>
      </c>
      <c r="L313" s="76">
        <f>ROUND(E313*F313,2)</f>
        <v>33</v>
      </c>
      <c r="M313" s="76">
        <f>I313*G313</f>
        <v>42.1</v>
      </c>
      <c r="N313" s="76">
        <f>J313*G313</f>
        <v>42.1</v>
      </c>
      <c r="O313" s="76">
        <f>H313-N313</f>
        <v>0</v>
      </c>
      <c r="P313" s="90">
        <f t="shared" si="91"/>
        <v>1</v>
      </c>
      <c r="Q313" s="51"/>
      <c r="T313" s="53">
        <v>33</v>
      </c>
    </row>
    <row r="314" spans="1:20" s="56" customFormat="1" ht="12" x14ac:dyDescent="0.2">
      <c r="A314" s="73" t="s">
        <v>308</v>
      </c>
      <c r="B314" s="73" t="s">
        <v>620</v>
      </c>
      <c r="C314" s="74" t="s">
        <v>621</v>
      </c>
      <c r="D314" s="73" t="s">
        <v>102</v>
      </c>
      <c r="E314" s="75">
        <v>2</v>
      </c>
      <c r="F314" s="75">
        <f>ROUND(T314*$T$10,2)</f>
        <v>36.5</v>
      </c>
      <c r="G314" s="75">
        <f>ROUND(F314*(1+$U$1),2)</f>
        <v>46.57</v>
      </c>
      <c r="H314" s="76">
        <f>ROUND(E314*G314,2)</f>
        <v>93.14</v>
      </c>
      <c r="I314" s="75">
        <v>2</v>
      </c>
      <c r="J314" s="75">
        <f t="shared" si="94"/>
        <v>2</v>
      </c>
      <c r="K314" s="75">
        <f t="shared" si="86"/>
        <v>0</v>
      </c>
      <c r="L314" s="76">
        <f>ROUND(E314*F314,2)</f>
        <v>73</v>
      </c>
      <c r="M314" s="76">
        <f>I314*G314</f>
        <v>93.14</v>
      </c>
      <c r="N314" s="76">
        <f>J314*G314</f>
        <v>93.14</v>
      </c>
      <c r="O314" s="76">
        <f>H314-N314</f>
        <v>0</v>
      </c>
      <c r="P314" s="90">
        <f t="shared" si="91"/>
        <v>1</v>
      </c>
      <c r="Q314" s="51"/>
      <c r="T314" s="53">
        <v>36.5</v>
      </c>
    </row>
    <row r="315" spans="1:20" s="56" customFormat="1" ht="12" x14ac:dyDescent="0.2">
      <c r="A315" s="72"/>
      <c r="B315" s="71"/>
      <c r="C315" s="71"/>
      <c r="D315" s="71"/>
      <c r="E315" s="71"/>
      <c r="F315" s="75"/>
      <c r="G315" s="77" t="s">
        <v>622</v>
      </c>
      <c r="H315" s="78">
        <f>SUM(H312:H314)</f>
        <v>2943.4799999999996</v>
      </c>
      <c r="I315" s="71"/>
      <c r="J315" s="75">
        <v>0</v>
      </c>
      <c r="K315" s="75">
        <f t="shared" si="86"/>
        <v>0</v>
      </c>
      <c r="L315" s="78">
        <f>SUM(L312:L314)</f>
        <v>2306.98</v>
      </c>
      <c r="M315" s="78">
        <f>SUM(M312:M314)</f>
        <v>2943.4799999999996</v>
      </c>
      <c r="N315" s="78">
        <f>SUM(N312:N314)</f>
        <v>2943.4799999999996</v>
      </c>
      <c r="O315" s="78">
        <f>SUM(O312:O314)</f>
        <v>0</v>
      </c>
      <c r="P315" s="91">
        <f>N315/H315</f>
        <v>1</v>
      </c>
      <c r="Q315" s="60"/>
      <c r="T315" s="59"/>
    </row>
    <row r="316" spans="1:20" s="56" customFormat="1" ht="12" x14ac:dyDescent="0.2">
      <c r="A316" s="72"/>
      <c r="B316" s="70" t="s">
        <v>623</v>
      </c>
      <c r="C316" s="71" t="s">
        <v>624</v>
      </c>
      <c r="D316" s="72"/>
      <c r="E316" s="72"/>
      <c r="F316" s="75"/>
      <c r="G316" s="72"/>
      <c r="H316" s="72"/>
      <c r="I316" s="72"/>
      <c r="J316" s="75"/>
      <c r="K316" s="75"/>
      <c r="L316" s="72"/>
      <c r="M316" s="72"/>
      <c r="N316" s="72"/>
      <c r="O316" s="72"/>
      <c r="P316" s="72"/>
      <c r="Q316" s="52"/>
      <c r="T316" s="52"/>
    </row>
    <row r="317" spans="1:20" s="56" customFormat="1" ht="12" x14ac:dyDescent="0.2">
      <c r="A317" s="72"/>
      <c r="B317" s="70" t="s">
        <v>625</v>
      </c>
      <c r="C317" s="71" t="s">
        <v>626</v>
      </c>
      <c r="D317" s="72"/>
      <c r="E317" s="72"/>
      <c r="F317" s="75"/>
      <c r="G317" s="72"/>
      <c r="H317" s="72"/>
      <c r="I317" s="72"/>
      <c r="J317" s="75"/>
      <c r="K317" s="75"/>
      <c r="L317" s="72"/>
      <c r="M317" s="72"/>
      <c r="N317" s="72"/>
      <c r="O317" s="72"/>
      <c r="P317" s="72"/>
      <c r="Q317" s="52"/>
      <c r="T317" s="52"/>
    </row>
    <row r="318" spans="1:20" s="56" customFormat="1" ht="12" x14ac:dyDescent="0.2">
      <c r="A318" s="94">
        <v>92688</v>
      </c>
      <c r="B318" s="80">
        <v>42736</v>
      </c>
      <c r="C318" s="74" t="s">
        <v>627</v>
      </c>
      <c r="D318" s="73" t="s">
        <v>81</v>
      </c>
      <c r="E318" s="75">
        <v>18</v>
      </c>
      <c r="F318" s="75">
        <f>ROUND(T318*$T$10,2)</f>
        <v>25.9</v>
      </c>
      <c r="G318" s="75">
        <f>ROUND(F318*(1+$U$1),2)</f>
        <v>33.049999999999997</v>
      </c>
      <c r="H318" s="76">
        <f>ROUND(E318*G318,2)</f>
        <v>594.9</v>
      </c>
      <c r="I318" s="75"/>
      <c r="J318" s="75">
        <v>18</v>
      </c>
      <c r="K318" s="75">
        <f t="shared" si="86"/>
        <v>0</v>
      </c>
      <c r="L318" s="76">
        <f>ROUND(E318*F318,2)</f>
        <v>466.2</v>
      </c>
      <c r="M318" s="76">
        <f>I318*G318</f>
        <v>0</v>
      </c>
      <c r="N318" s="76">
        <f>J318*G318</f>
        <v>594.9</v>
      </c>
      <c r="O318" s="76">
        <f>H318-N318</f>
        <v>0</v>
      </c>
      <c r="P318" s="90">
        <f t="shared" ref="P318:P340" si="95">N318/H318</f>
        <v>1</v>
      </c>
      <c r="Q318" s="51"/>
      <c r="T318" s="53">
        <v>25.9</v>
      </c>
    </row>
    <row r="319" spans="1:20" s="56" customFormat="1" ht="12" x14ac:dyDescent="0.2">
      <c r="A319" s="94">
        <v>97535</v>
      </c>
      <c r="B319" s="80">
        <v>42737</v>
      </c>
      <c r="C319" s="74" t="s">
        <v>628</v>
      </c>
      <c r="D319" s="73" t="s">
        <v>81</v>
      </c>
      <c r="E319" s="75">
        <v>24</v>
      </c>
      <c r="F319" s="75">
        <f>ROUND(T319*$T$10,2)</f>
        <v>32.049999999999997</v>
      </c>
      <c r="G319" s="75">
        <f>ROUND(F319*(1+$U$1),2)</f>
        <v>40.89</v>
      </c>
      <c r="H319" s="76">
        <f>ROUND(E319*G319,2)</f>
        <v>981.36</v>
      </c>
      <c r="I319" s="75"/>
      <c r="J319" s="75">
        <v>24</v>
      </c>
      <c r="K319" s="75">
        <f t="shared" si="86"/>
        <v>0</v>
      </c>
      <c r="L319" s="76">
        <f>ROUND(E319*F319,2)</f>
        <v>769.2</v>
      </c>
      <c r="M319" s="76">
        <f>I319*G319</f>
        <v>0</v>
      </c>
      <c r="N319" s="76">
        <f>J319*G319</f>
        <v>981.36</v>
      </c>
      <c r="O319" s="76">
        <f>H319-N319</f>
        <v>0</v>
      </c>
      <c r="P319" s="90">
        <f t="shared" si="95"/>
        <v>1</v>
      </c>
      <c r="Q319" s="51"/>
      <c r="T319" s="53">
        <v>32.049999999999997</v>
      </c>
    </row>
    <row r="320" spans="1:20" s="56" customFormat="1" ht="12" x14ac:dyDescent="0.2">
      <c r="A320" s="94">
        <v>92653</v>
      </c>
      <c r="B320" s="80">
        <v>42738</v>
      </c>
      <c r="C320" s="74" t="s">
        <v>629</v>
      </c>
      <c r="D320" s="73" t="s">
        <v>81</v>
      </c>
      <c r="E320" s="75">
        <v>36</v>
      </c>
      <c r="F320" s="75">
        <f>ROUND(T320*$T$10,2)</f>
        <v>43.81</v>
      </c>
      <c r="G320" s="75">
        <f>ROUND(F320*(1+$U$1),2)</f>
        <v>55.9</v>
      </c>
      <c r="H320" s="76">
        <f>ROUND(E320*G320,2)</f>
        <v>2012.4</v>
      </c>
      <c r="I320" s="75"/>
      <c r="J320" s="75">
        <v>36</v>
      </c>
      <c r="K320" s="75">
        <f t="shared" ref="K320:K383" si="96">E320-J320</f>
        <v>0</v>
      </c>
      <c r="L320" s="76">
        <f>ROUND(E320*F320,2)</f>
        <v>1577.16</v>
      </c>
      <c r="M320" s="76">
        <f>I320*G320</f>
        <v>0</v>
      </c>
      <c r="N320" s="76">
        <f>J320*G320</f>
        <v>2012.3999999999999</v>
      </c>
      <c r="O320" s="76">
        <f>H320-N320</f>
        <v>0</v>
      </c>
      <c r="P320" s="90">
        <f t="shared" si="95"/>
        <v>0.99999999999999989</v>
      </c>
      <c r="Q320" s="51"/>
      <c r="T320" s="53">
        <v>43.81</v>
      </c>
    </row>
    <row r="321" spans="1:20" s="56" customFormat="1" ht="12" x14ac:dyDescent="0.2">
      <c r="A321" s="94">
        <v>92656</v>
      </c>
      <c r="B321" s="80">
        <v>42739</v>
      </c>
      <c r="C321" s="74" t="s">
        <v>630</v>
      </c>
      <c r="D321" s="73" t="s">
        <v>81</v>
      </c>
      <c r="E321" s="75">
        <v>12</v>
      </c>
      <c r="F321" s="75">
        <f>ROUND(T321*$T$10,2)</f>
        <v>79.11</v>
      </c>
      <c r="G321" s="75">
        <f>ROUND(F321*(1+$U$1),2)</f>
        <v>100.94</v>
      </c>
      <c r="H321" s="76">
        <f>ROUND(E321*G321,2)</f>
        <v>1211.28</v>
      </c>
      <c r="I321" s="75"/>
      <c r="J321" s="75">
        <v>12</v>
      </c>
      <c r="K321" s="75">
        <f t="shared" si="96"/>
        <v>0</v>
      </c>
      <c r="L321" s="76">
        <f>ROUND(E321*F321,2)</f>
        <v>949.32</v>
      </c>
      <c r="M321" s="76">
        <f>I321*G321</f>
        <v>0</v>
      </c>
      <c r="N321" s="76">
        <f>J321*G321</f>
        <v>1211.28</v>
      </c>
      <c r="O321" s="76">
        <f>H321-N321</f>
        <v>0</v>
      </c>
      <c r="P321" s="90">
        <f t="shared" si="95"/>
        <v>1</v>
      </c>
      <c r="Q321" s="51"/>
      <c r="T321" s="53">
        <v>79.11</v>
      </c>
    </row>
    <row r="322" spans="1:20" s="56" customFormat="1" ht="12" x14ac:dyDescent="0.2">
      <c r="A322" s="72"/>
      <c r="B322" s="70" t="s">
        <v>631</v>
      </c>
      <c r="C322" s="71" t="s">
        <v>632</v>
      </c>
      <c r="D322" s="72"/>
      <c r="E322" s="72"/>
      <c r="F322" s="75"/>
      <c r="G322" s="72"/>
      <c r="H322" s="72"/>
      <c r="I322" s="72"/>
      <c r="J322" s="75"/>
      <c r="K322" s="75"/>
      <c r="L322" s="72"/>
      <c r="M322" s="76"/>
      <c r="N322" s="76"/>
      <c r="O322" s="76"/>
      <c r="P322" s="90"/>
      <c r="Q322" s="52"/>
      <c r="T322" s="52"/>
    </row>
    <row r="323" spans="1:20" s="56" customFormat="1" ht="12" x14ac:dyDescent="0.2">
      <c r="A323" s="94">
        <v>92939</v>
      </c>
      <c r="B323" s="80">
        <v>42767</v>
      </c>
      <c r="C323" s="74" t="s">
        <v>633</v>
      </c>
      <c r="D323" s="73" t="s">
        <v>102</v>
      </c>
      <c r="E323" s="75">
        <v>2</v>
      </c>
      <c r="F323" s="75">
        <f>ROUND(T323*$T$10,2)</f>
        <v>17.52</v>
      </c>
      <c r="G323" s="75">
        <f>ROUND(F323*(1+$U$1),2)</f>
        <v>22.35</v>
      </c>
      <c r="H323" s="76">
        <f>ROUND(E323*G323,2)</f>
        <v>44.7</v>
      </c>
      <c r="I323" s="75"/>
      <c r="J323" s="75">
        <v>2</v>
      </c>
      <c r="K323" s="75">
        <f t="shared" si="96"/>
        <v>0</v>
      </c>
      <c r="L323" s="76">
        <f>ROUND(E323*F323,2)</f>
        <v>35.04</v>
      </c>
      <c r="M323" s="76">
        <f>I323*G323</f>
        <v>0</v>
      </c>
      <c r="N323" s="76">
        <f>J323*G323</f>
        <v>44.7</v>
      </c>
      <c r="O323" s="76">
        <f>H323-N323</f>
        <v>0</v>
      </c>
      <c r="P323" s="90">
        <f t="shared" si="95"/>
        <v>1</v>
      </c>
      <c r="Q323" s="51"/>
      <c r="T323" s="53">
        <v>17.52</v>
      </c>
    </row>
    <row r="324" spans="1:20" s="56" customFormat="1" ht="12" x14ac:dyDescent="0.2">
      <c r="A324" s="72"/>
      <c r="B324" s="70" t="s">
        <v>634</v>
      </c>
      <c r="C324" s="71" t="s">
        <v>635</v>
      </c>
      <c r="D324" s="72"/>
      <c r="E324" s="72"/>
      <c r="F324" s="75"/>
      <c r="G324" s="72"/>
      <c r="H324" s="72"/>
      <c r="I324" s="72"/>
      <c r="J324" s="75"/>
      <c r="K324" s="75"/>
      <c r="L324" s="72"/>
      <c r="M324" s="76"/>
      <c r="N324" s="76"/>
      <c r="O324" s="76"/>
      <c r="P324" s="90"/>
      <c r="Q324" s="52"/>
      <c r="T324" s="52"/>
    </row>
    <row r="325" spans="1:20" s="56" customFormat="1" ht="12" x14ac:dyDescent="0.2">
      <c r="A325" s="94">
        <v>92701</v>
      </c>
      <c r="B325" s="80">
        <v>42795</v>
      </c>
      <c r="C325" s="74" t="s">
        <v>636</v>
      </c>
      <c r="D325" s="73" t="s">
        <v>102</v>
      </c>
      <c r="E325" s="75">
        <v>4</v>
      </c>
      <c r="F325" s="75">
        <f>ROUND(T325*$T$10,2)</f>
        <v>21.04</v>
      </c>
      <c r="G325" s="75">
        <f>ROUND(F325*(1+$U$1),2)</f>
        <v>26.84</v>
      </c>
      <c r="H325" s="76">
        <f>ROUND(E325*G325,2)</f>
        <v>107.36</v>
      </c>
      <c r="I325" s="75"/>
      <c r="J325" s="75">
        <v>4</v>
      </c>
      <c r="K325" s="75">
        <f t="shared" si="96"/>
        <v>0</v>
      </c>
      <c r="L325" s="76">
        <f>ROUND(E325*F325,2)</f>
        <v>84.16</v>
      </c>
      <c r="M325" s="76">
        <f>I325*G325</f>
        <v>0</v>
      </c>
      <c r="N325" s="76">
        <f>J325*G325</f>
        <v>107.36</v>
      </c>
      <c r="O325" s="76">
        <f>H325-N325</f>
        <v>0</v>
      </c>
      <c r="P325" s="90">
        <f t="shared" si="95"/>
        <v>1</v>
      </c>
      <c r="Q325" s="51"/>
      <c r="T325" s="53">
        <v>21.04</v>
      </c>
    </row>
    <row r="326" spans="1:20" s="56" customFormat="1" ht="12" x14ac:dyDescent="0.2">
      <c r="A326" s="94">
        <v>92674</v>
      </c>
      <c r="B326" s="80">
        <v>42796</v>
      </c>
      <c r="C326" s="74" t="s">
        <v>637</v>
      </c>
      <c r="D326" s="73" t="s">
        <v>102</v>
      </c>
      <c r="E326" s="75">
        <v>4</v>
      </c>
      <c r="F326" s="75">
        <f>ROUND(T326*$T$10,2)</f>
        <v>34.25</v>
      </c>
      <c r="G326" s="75">
        <f>ROUND(F326*(1+$U$1),2)</f>
        <v>43.7</v>
      </c>
      <c r="H326" s="76">
        <f>ROUND(E326*G326,2)</f>
        <v>174.8</v>
      </c>
      <c r="I326" s="75"/>
      <c r="J326" s="75">
        <v>4</v>
      </c>
      <c r="K326" s="75">
        <f t="shared" si="96"/>
        <v>0</v>
      </c>
      <c r="L326" s="76">
        <f>ROUND(E326*F326,2)</f>
        <v>137</v>
      </c>
      <c r="M326" s="76">
        <f>I326*G326</f>
        <v>0</v>
      </c>
      <c r="N326" s="76">
        <f>J326*G326</f>
        <v>174.8</v>
      </c>
      <c r="O326" s="76">
        <f>H326-N326</f>
        <v>0</v>
      </c>
      <c r="P326" s="90">
        <f t="shared" si="95"/>
        <v>1</v>
      </c>
      <c r="Q326" s="51"/>
      <c r="T326" s="53">
        <v>34.25</v>
      </c>
    </row>
    <row r="327" spans="1:20" s="56" customFormat="1" ht="12" x14ac:dyDescent="0.2">
      <c r="A327" s="94">
        <v>92703</v>
      </c>
      <c r="B327" s="80">
        <v>42797</v>
      </c>
      <c r="C327" s="74" t="s">
        <v>638</v>
      </c>
      <c r="D327" s="73" t="s">
        <v>102</v>
      </c>
      <c r="E327" s="75">
        <v>15</v>
      </c>
      <c r="F327" s="75">
        <f>ROUND(T327*$T$10,2)</f>
        <v>33.51</v>
      </c>
      <c r="G327" s="75">
        <f>ROUND(F327*(1+$U$1),2)</f>
        <v>42.76</v>
      </c>
      <c r="H327" s="76">
        <f>ROUND(E327*G327,2)</f>
        <v>641.4</v>
      </c>
      <c r="I327" s="75"/>
      <c r="J327" s="75">
        <v>15</v>
      </c>
      <c r="K327" s="75">
        <f t="shared" si="96"/>
        <v>0</v>
      </c>
      <c r="L327" s="76">
        <f>ROUND(E327*F327,2)</f>
        <v>502.65</v>
      </c>
      <c r="M327" s="76">
        <f>I327*G327</f>
        <v>0</v>
      </c>
      <c r="N327" s="76">
        <f>J327*G327</f>
        <v>641.4</v>
      </c>
      <c r="O327" s="76">
        <f>H327-N327</f>
        <v>0</v>
      </c>
      <c r="P327" s="90">
        <f t="shared" si="95"/>
        <v>1</v>
      </c>
      <c r="Q327" s="51"/>
      <c r="T327" s="53">
        <v>33.51</v>
      </c>
    </row>
    <row r="328" spans="1:20" s="56" customFormat="1" ht="12" x14ac:dyDescent="0.2">
      <c r="A328" s="94">
        <v>92680</v>
      </c>
      <c r="B328" s="80">
        <v>42798</v>
      </c>
      <c r="C328" s="74" t="s">
        <v>639</v>
      </c>
      <c r="D328" s="73" t="s">
        <v>102</v>
      </c>
      <c r="E328" s="75">
        <v>8</v>
      </c>
      <c r="F328" s="75">
        <f>ROUND(T328*$T$10,2)</f>
        <v>87.03</v>
      </c>
      <c r="G328" s="75">
        <f>ROUND(F328*(1+$U$1),2)</f>
        <v>111.04</v>
      </c>
      <c r="H328" s="76">
        <f>ROUND(E328*G328,2)</f>
        <v>888.32</v>
      </c>
      <c r="I328" s="75"/>
      <c r="J328" s="75">
        <v>8</v>
      </c>
      <c r="K328" s="75">
        <f t="shared" si="96"/>
        <v>0</v>
      </c>
      <c r="L328" s="76">
        <f>ROUND(E328*F328,2)</f>
        <v>696.24</v>
      </c>
      <c r="M328" s="76">
        <f>I328*G328</f>
        <v>0</v>
      </c>
      <c r="N328" s="76">
        <f>J328*G328</f>
        <v>888.32</v>
      </c>
      <c r="O328" s="76">
        <f>H328-N328</f>
        <v>0</v>
      </c>
      <c r="P328" s="90">
        <f t="shared" si="95"/>
        <v>1</v>
      </c>
      <c r="Q328" s="51"/>
      <c r="T328" s="53">
        <v>87.03</v>
      </c>
    </row>
    <row r="329" spans="1:20" s="56" customFormat="1" ht="12" x14ac:dyDescent="0.2">
      <c r="A329" s="72"/>
      <c r="B329" s="70" t="s">
        <v>640</v>
      </c>
      <c r="C329" s="71" t="s">
        <v>641</v>
      </c>
      <c r="D329" s="72"/>
      <c r="E329" s="72"/>
      <c r="F329" s="75"/>
      <c r="G329" s="72"/>
      <c r="H329" s="72"/>
      <c r="I329" s="72"/>
      <c r="J329" s="75"/>
      <c r="K329" s="75"/>
      <c r="L329" s="72"/>
      <c r="M329" s="76"/>
      <c r="N329" s="76"/>
      <c r="O329" s="76"/>
      <c r="P329" s="90"/>
      <c r="Q329" s="52"/>
      <c r="T329" s="52"/>
    </row>
    <row r="330" spans="1:20" s="56" customFormat="1" ht="12" x14ac:dyDescent="0.2">
      <c r="A330" s="94">
        <v>92658</v>
      </c>
      <c r="B330" s="80">
        <v>42826</v>
      </c>
      <c r="C330" s="74" t="s">
        <v>642</v>
      </c>
      <c r="D330" s="73" t="s">
        <v>102</v>
      </c>
      <c r="E330" s="75">
        <v>1</v>
      </c>
      <c r="F330" s="75">
        <f>ROUND(T330*$T$10,2)</f>
        <v>17.47</v>
      </c>
      <c r="G330" s="75">
        <f>ROUND(F330*(1+$U$1),2)</f>
        <v>22.29</v>
      </c>
      <c r="H330" s="76">
        <f>ROUND(E330*G330,2)</f>
        <v>22.29</v>
      </c>
      <c r="I330" s="75"/>
      <c r="J330" s="75">
        <v>1</v>
      </c>
      <c r="K330" s="75">
        <f t="shared" si="96"/>
        <v>0</v>
      </c>
      <c r="L330" s="76">
        <f>ROUND(E330*F330,2)</f>
        <v>17.47</v>
      </c>
      <c r="M330" s="76">
        <f>I330*G330</f>
        <v>0</v>
      </c>
      <c r="N330" s="76">
        <f>J330*G330</f>
        <v>22.29</v>
      </c>
      <c r="O330" s="76">
        <f>H330-N330</f>
        <v>0</v>
      </c>
      <c r="P330" s="90">
        <f t="shared" si="95"/>
        <v>1</v>
      </c>
      <c r="Q330" s="51"/>
      <c r="T330" s="53">
        <v>17.47</v>
      </c>
    </row>
    <row r="331" spans="1:20" s="56" customFormat="1" ht="12" x14ac:dyDescent="0.2">
      <c r="A331" s="94">
        <v>92662</v>
      </c>
      <c r="B331" s="80">
        <v>42827</v>
      </c>
      <c r="C331" s="74" t="s">
        <v>643</v>
      </c>
      <c r="D331" s="73" t="s">
        <v>102</v>
      </c>
      <c r="E331" s="75">
        <v>1</v>
      </c>
      <c r="F331" s="75">
        <f>ROUND(T331*$T$10,2)</f>
        <v>23.58</v>
      </c>
      <c r="G331" s="75">
        <f>ROUND(F331*(1+$U$1),2)</f>
        <v>30.09</v>
      </c>
      <c r="H331" s="76">
        <f>ROUND(E331*G331,2)</f>
        <v>30.09</v>
      </c>
      <c r="I331" s="75"/>
      <c r="J331" s="75">
        <v>1</v>
      </c>
      <c r="K331" s="75">
        <f t="shared" si="96"/>
        <v>0</v>
      </c>
      <c r="L331" s="76">
        <f>ROUND(E331*F331,2)</f>
        <v>23.58</v>
      </c>
      <c r="M331" s="76">
        <f>I331*G331</f>
        <v>0</v>
      </c>
      <c r="N331" s="76">
        <f>J331*G331</f>
        <v>30.09</v>
      </c>
      <c r="O331" s="76">
        <f>H331-N331</f>
        <v>0</v>
      </c>
      <c r="P331" s="90">
        <f t="shared" si="95"/>
        <v>1</v>
      </c>
      <c r="Q331" s="51"/>
      <c r="T331" s="53">
        <v>23.58</v>
      </c>
    </row>
    <row r="332" spans="1:20" s="56" customFormat="1" ht="12" x14ac:dyDescent="0.2">
      <c r="A332" s="72"/>
      <c r="B332" s="70" t="s">
        <v>644</v>
      </c>
      <c r="C332" s="71" t="s">
        <v>450</v>
      </c>
      <c r="D332" s="72"/>
      <c r="E332" s="72"/>
      <c r="F332" s="75"/>
      <c r="G332" s="72"/>
      <c r="H332" s="72"/>
      <c r="I332" s="72"/>
      <c r="J332" s="75"/>
      <c r="K332" s="75"/>
      <c r="L332" s="72"/>
      <c r="M332" s="76"/>
      <c r="N332" s="76"/>
      <c r="O332" s="76"/>
      <c r="P332" s="90"/>
      <c r="Q332" s="52"/>
      <c r="T332" s="52"/>
    </row>
    <row r="333" spans="1:20" s="56" customFormat="1" ht="12" x14ac:dyDescent="0.2">
      <c r="A333" s="94">
        <v>92683</v>
      </c>
      <c r="B333" s="80">
        <v>42856</v>
      </c>
      <c r="C333" s="74" t="s">
        <v>645</v>
      </c>
      <c r="D333" s="73" t="s">
        <v>102</v>
      </c>
      <c r="E333" s="75">
        <v>1</v>
      </c>
      <c r="F333" s="75">
        <f>ROUND(T333*$T$10,2)</f>
        <v>45.08</v>
      </c>
      <c r="G333" s="75">
        <f>ROUND(F333*(1+$U$1),2)</f>
        <v>57.52</v>
      </c>
      <c r="H333" s="76">
        <f>ROUND(E333*G333,2)</f>
        <v>57.52</v>
      </c>
      <c r="I333" s="75"/>
      <c r="J333" s="75">
        <v>1</v>
      </c>
      <c r="K333" s="75">
        <f t="shared" si="96"/>
        <v>0</v>
      </c>
      <c r="L333" s="76">
        <f>ROUND(E333*F333,2)</f>
        <v>45.08</v>
      </c>
      <c r="M333" s="76">
        <f>I333*G333</f>
        <v>0</v>
      </c>
      <c r="N333" s="76">
        <f>J333*G333</f>
        <v>57.52</v>
      </c>
      <c r="O333" s="76">
        <f>H333-N333</f>
        <v>0</v>
      </c>
      <c r="P333" s="90">
        <f t="shared" si="95"/>
        <v>1</v>
      </c>
      <c r="Q333" s="51"/>
      <c r="T333" s="53">
        <v>45.08</v>
      </c>
    </row>
    <row r="334" spans="1:20" s="56" customFormat="1" ht="12" x14ac:dyDescent="0.2">
      <c r="A334" s="94">
        <v>92681</v>
      </c>
      <c r="B334" s="80">
        <v>42857</v>
      </c>
      <c r="C334" s="74" t="s">
        <v>646</v>
      </c>
      <c r="D334" s="73" t="s">
        <v>102</v>
      </c>
      <c r="E334" s="75">
        <v>2</v>
      </c>
      <c r="F334" s="75">
        <f>ROUND(T334*$T$10,2)</f>
        <v>32.270000000000003</v>
      </c>
      <c r="G334" s="75">
        <f>ROUND(F334*(1+$U$1),2)</f>
        <v>41.17</v>
      </c>
      <c r="H334" s="76">
        <f>ROUND(E334*G334,2)</f>
        <v>82.34</v>
      </c>
      <c r="I334" s="75"/>
      <c r="J334" s="75">
        <v>2</v>
      </c>
      <c r="K334" s="75">
        <f t="shared" si="96"/>
        <v>0</v>
      </c>
      <c r="L334" s="76">
        <f>ROUND(E334*F334,2)</f>
        <v>64.540000000000006</v>
      </c>
      <c r="M334" s="76">
        <f>I334*G334</f>
        <v>0</v>
      </c>
      <c r="N334" s="76">
        <f>J334*G334</f>
        <v>82.34</v>
      </c>
      <c r="O334" s="76">
        <f>H334-N334</f>
        <v>0</v>
      </c>
      <c r="P334" s="90">
        <f t="shared" si="95"/>
        <v>1</v>
      </c>
      <c r="Q334" s="51"/>
      <c r="T334" s="53">
        <v>32.270000000000003</v>
      </c>
    </row>
    <row r="335" spans="1:20" s="56" customFormat="1" ht="12" x14ac:dyDescent="0.2">
      <c r="A335" s="73" t="s">
        <v>78</v>
      </c>
      <c r="B335" s="80">
        <v>42858</v>
      </c>
      <c r="C335" s="74" t="s">
        <v>647</v>
      </c>
      <c r="D335" s="73" t="s">
        <v>102</v>
      </c>
      <c r="E335" s="75">
        <v>1</v>
      </c>
      <c r="F335" s="75">
        <f>ROUND(T335*$T$10,2)</f>
        <v>32.92</v>
      </c>
      <c r="G335" s="75">
        <f>ROUND(F335*(1+$U$1),2)</f>
        <v>42</v>
      </c>
      <c r="H335" s="76">
        <f>ROUND(E335*G335,2)</f>
        <v>42</v>
      </c>
      <c r="I335" s="75"/>
      <c r="J335" s="75">
        <v>1</v>
      </c>
      <c r="K335" s="75">
        <f t="shared" si="96"/>
        <v>0</v>
      </c>
      <c r="L335" s="76">
        <f>ROUND(E335*F335,2)</f>
        <v>32.92</v>
      </c>
      <c r="M335" s="76">
        <f>I335*G335</f>
        <v>0</v>
      </c>
      <c r="N335" s="76">
        <f>J335*G335</f>
        <v>42</v>
      </c>
      <c r="O335" s="76">
        <f>H335-N335</f>
        <v>0</v>
      </c>
      <c r="P335" s="90">
        <f t="shared" si="95"/>
        <v>1</v>
      </c>
      <c r="Q335" s="51"/>
      <c r="T335" s="53">
        <v>32.92</v>
      </c>
    </row>
    <row r="336" spans="1:20" s="56" customFormat="1" ht="12" x14ac:dyDescent="0.2">
      <c r="A336" s="72"/>
      <c r="B336" s="70" t="s">
        <v>648</v>
      </c>
      <c r="C336" s="71" t="s">
        <v>473</v>
      </c>
      <c r="D336" s="72"/>
      <c r="E336" s="72"/>
      <c r="F336" s="75"/>
      <c r="G336" s="72"/>
      <c r="H336" s="72"/>
      <c r="I336" s="72"/>
      <c r="J336" s="75"/>
      <c r="K336" s="75"/>
      <c r="L336" s="72"/>
      <c r="M336" s="76"/>
      <c r="N336" s="76"/>
      <c r="O336" s="76"/>
      <c r="P336" s="90"/>
      <c r="Q336" s="52"/>
      <c r="T336" s="52"/>
    </row>
    <row r="337" spans="1:20" s="56" customFormat="1" ht="12" x14ac:dyDescent="0.2">
      <c r="A337" s="94">
        <v>92898</v>
      </c>
      <c r="B337" s="80">
        <v>42887</v>
      </c>
      <c r="C337" s="74" t="s">
        <v>649</v>
      </c>
      <c r="D337" s="73" t="s">
        <v>102</v>
      </c>
      <c r="E337" s="75">
        <v>4</v>
      </c>
      <c r="F337" s="75">
        <f>ROUND(T337*$T$10,2)</f>
        <v>27.29</v>
      </c>
      <c r="G337" s="75">
        <f>ROUND(F337*(1+$U$1),2)</f>
        <v>34.82</v>
      </c>
      <c r="H337" s="76">
        <f>ROUND(E337*G337,2)</f>
        <v>139.28</v>
      </c>
      <c r="I337" s="75"/>
      <c r="J337" s="75">
        <v>4</v>
      </c>
      <c r="K337" s="75">
        <f t="shared" si="96"/>
        <v>0</v>
      </c>
      <c r="L337" s="76">
        <f>ROUND(E337*F337,2)</f>
        <v>109.16</v>
      </c>
      <c r="M337" s="76">
        <f>I337*G337</f>
        <v>0</v>
      </c>
      <c r="N337" s="76">
        <f>J337*G337</f>
        <v>139.28</v>
      </c>
      <c r="O337" s="76">
        <f>H337-N337</f>
        <v>0</v>
      </c>
      <c r="P337" s="90">
        <f t="shared" si="95"/>
        <v>1</v>
      </c>
      <c r="Q337" s="51"/>
      <c r="T337" s="53">
        <v>27.29</v>
      </c>
    </row>
    <row r="338" spans="1:20" s="56" customFormat="1" ht="12" x14ac:dyDescent="0.2">
      <c r="A338" s="94">
        <v>92900</v>
      </c>
      <c r="B338" s="80">
        <v>42888</v>
      </c>
      <c r="C338" s="74" t="s">
        <v>650</v>
      </c>
      <c r="D338" s="73" t="s">
        <v>102</v>
      </c>
      <c r="E338" s="75">
        <v>2</v>
      </c>
      <c r="F338" s="75">
        <f>ROUND(T338*$T$10,2)</f>
        <v>46.5</v>
      </c>
      <c r="G338" s="75">
        <f>ROUND(F338*(1+$U$1),2)</f>
        <v>59.33</v>
      </c>
      <c r="H338" s="76">
        <f>ROUND(E338*G338,2)</f>
        <v>118.66</v>
      </c>
      <c r="I338" s="75"/>
      <c r="J338" s="75">
        <v>2</v>
      </c>
      <c r="K338" s="75">
        <f t="shared" si="96"/>
        <v>0</v>
      </c>
      <c r="L338" s="76">
        <f>ROUND(E338*F338,2)</f>
        <v>93</v>
      </c>
      <c r="M338" s="76">
        <f>I338*G338</f>
        <v>0</v>
      </c>
      <c r="N338" s="76">
        <f>J338*G338</f>
        <v>118.66</v>
      </c>
      <c r="O338" s="76">
        <f>H338-N338</f>
        <v>0</v>
      </c>
      <c r="P338" s="90">
        <f t="shared" si="95"/>
        <v>1</v>
      </c>
      <c r="Q338" s="51"/>
      <c r="T338" s="53">
        <v>46.5</v>
      </c>
    </row>
    <row r="339" spans="1:20" s="56" customFormat="1" ht="12" x14ac:dyDescent="0.2">
      <c r="A339" s="72"/>
      <c r="B339" s="70" t="s">
        <v>651</v>
      </c>
      <c r="C339" s="71" t="s">
        <v>652</v>
      </c>
      <c r="D339" s="72"/>
      <c r="E339" s="72"/>
      <c r="F339" s="75"/>
      <c r="G339" s="72"/>
      <c r="H339" s="72"/>
      <c r="I339" s="72"/>
      <c r="J339" s="75"/>
      <c r="K339" s="75"/>
      <c r="L339" s="72"/>
      <c r="M339" s="76"/>
      <c r="N339" s="76"/>
      <c r="O339" s="76"/>
      <c r="P339" s="90"/>
      <c r="Q339" s="52"/>
      <c r="T339" s="52"/>
    </row>
    <row r="340" spans="1:20" s="56" customFormat="1" ht="12" x14ac:dyDescent="0.2">
      <c r="A340" s="73" t="s">
        <v>78</v>
      </c>
      <c r="B340" s="80">
        <v>42917</v>
      </c>
      <c r="C340" s="74" t="s">
        <v>653</v>
      </c>
      <c r="D340" s="73" t="s">
        <v>102</v>
      </c>
      <c r="E340" s="75">
        <v>2</v>
      </c>
      <c r="F340" s="75">
        <f>ROUND(T340*$T$10,2)</f>
        <v>20.03</v>
      </c>
      <c r="G340" s="75">
        <f>ROUND(F340*(1+$U$1),2)</f>
        <v>25.56</v>
      </c>
      <c r="H340" s="76">
        <f>ROUND(E340*G340,2)</f>
        <v>51.12</v>
      </c>
      <c r="I340" s="75"/>
      <c r="J340" s="75">
        <v>2</v>
      </c>
      <c r="K340" s="75">
        <f t="shared" si="96"/>
        <v>0</v>
      </c>
      <c r="L340" s="76">
        <f>ROUND(E340*F340,2)</f>
        <v>40.06</v>
      </c>
      <c r="M340" s="76">
        <f>I340*G340</f>
        <v>0</v>
      </c>
      <c r="N340" s="76">
        <f>J340*G340</f>
        <v>51.12</v>
      </c>
      <c r="O340" s="76">
        <f>H340-N340</f>
        <v>0</v>
      </c>
      <c r="P340" s="90">
        <f t="shared" si="95"/>
        <v>1</v>
      </c>
      <c r="Q340" s="51"/>
      <c r="T340" s="53">
        <v>20.03</v>
      </c>
    </row>
    <row r="341" spans="1:20" s="56" customFormat="1" ht="12" x14ac:dyDescent="0.2">
      <c r="A341" s="72"/>
      <c r="B341" s="71"/>
      <c r="C341" s="71"/>
      <c r="D341" s="71"/>
      <c r="E341" s="71"/>
      <c r="F341" s="75"/>
      <c r="G341" s="77" t="s">
        <v>654</v>
      </c>
      <c r="H341" s="78">
        <f>SUM(H318:H340)</f>
        <v>7199.8199999999988</v>
      </c>
      <c r="I341" s="71"/>
      <c r="J341" s="75"/>
      <c r="K341" s="75"/>
      <c r="L341" s="78">
        <f>SUM(L318:L340)</f>
        <v>5642.7800000000007</v>
      </c>
      <c r="M341" s="78">
        <f>SUM(M318:M340)</f>
        <v>0</v>
      </c>
      <c r="N341" s="78">
        <f>SUM(N318:N340)</f>
        <v>7199.8199999999988</v>
      </c>
      <c r="O341" s="78">
        <f>SUM(O318:O340)</f>
        <v>0</v>
      </c>
      <c r="P341" s="91">
        <f>N341/H341</f>
        <v>1</v>
      </c>
      <c r="Q341" s="60"/>
      <c r="T341" s="59"/>
    </row>
    <row r="342" spans="1:20" s="56" customFormat="1" ht="12" x14ac:dyDescent="0.2">
      <c r="A342" s="72"/>
      <c r="B342" s="69"/>
      <c r="C342" s="82"/>
      <c r="D342" s="72"/>
      <c r="E342" s="72"/>
      <c r="F342" s="75"/>
      <c r="G342" s="72"/>
      <c r="H342" s="72"/>
      <c r="I342" s="72"/>
      <c r="J342" s="75"/>
      <c r="K342" s="75"/>
      <c r="L342" s="72"/>
      <c r="M342" s="72"/>
      <c r="N342" s="72"/>
      <c r="O342" s="72"/>
      <c r="P342" s="72"/>
      <c r="Q342" s="52"/>
      <c r="T342" s="52"/>
    </row>
    <row r="343" spans="1:20" s="56" customFormat="1" ht="12" x14ac:dyDescent="0.2">
      <c r="A343" s="72"/>
      <c r="B343" s="70" t="s">
        <v>655</v>
      </c>
      <c r="C343" s="71" t="s">
        <v>656</v>
      </c>
      <c r="D343" s="72"/>
      <c r="E343" s="72"/>
      <c r="F343" s="75"/>
      <c r="G343" s="72"/>
      <c r="H343" s="72"/>
      <c r="I343" s="72"/>
      <c r="J343" s="75"/>
      <c r="K343" s="75"/>
      <c r="L343" s="72"/>
      <c r="M343" s="72"/>
      <c r="N343" s="72"/>
      <c r="O343" s="72"/>
      <c r="P343" s="72"/>
      <c r="Q343" s="52"/>
      <c r="T343" s="52"/>
    </row>
    <row r="344" spans="1:20" s="56" customFormat="1" ht="12" x14ac:dyDescent="0.2">
      <c r="A344" s="72"/>
      <c r="B344" s="70" t="s">
        <v>657</v>
      </c>
      <c r="C344" s="71" t="s">
        <v>626</v>
      </c>
      <c r="D344" s="72"/>
      <c r="E344" s="72"/>
      <c r="F344" s="75"/>
      <c r="G344" s="72"/>
      <c r="H344" s="72"/>
      <c r="I344" s="72"/>
      <c r="J344" s="75"/>
      <c r="K344" s="75"/>
      <c r="L344" s="72"/>
      <c r="M344" s="72"/>
      <c r="N344" s="72"/>
      <c r="O344" s="72"/>
      <c r="P344" s="72"/>
      <c r="Q344" s="52"/>
      <c r="T344" s="52"/>
    </row>
    <row r="345" spans="1:20" s="56" customFormat="1" ht="24" x14ac:dyDescent="0.2">
      <c r="A345" s="73" t="s">
        <v>78</v>
      </c>
      <c r="B345" s="80">
        <v>43101</v>
      </c>
      <c r="C345" s="74" t="s">
        <v>658</v>
      </c>
      <c r="D345" s="73" t="s">
        <v>81</v>
      </c>
      <c r="E345" s="75">
        <v>15.5</v>
      </c>
      <c r="F345" s="75">
        <f t="shared" ref="F345:F350" si="97">ROUND(T345*$T$10,2)</f>
        <v>15.13</v>
      </c>
      <c r="G345" s="75">
        <f t="shared" ref="G345:G350" si="98">ROUND(F345*(1+$U$1),2)</f>
        <v>19.3</v>
      </c>
      <c r="H345" s="76">
        <f t="shared" ref="H345:H350" si="99">ROUND(E345*G345,2)</f>
        <v>299.14999999999998</v>
      </c>
      <c r="I345" s="75"/>
      <c r="J345" s="75">
        <v>15.5</v>
      </c>
      <c r="K345" s="75">
        <f t="shared" si="96"/>
        <v>0</v>
      </c>
      <c r="L345" s="76">
        <f t="shared" ref="L345:L350" si="100">ROUND(E345*F345,2)</f>
        <v>234.52</v>
      </c>
      <c r="M345" s="76">
        <f t="shared" ref="M345:M350" si="101">I345*G345</f>
        <v>0</v>
      </c>
      <c r="N345" s="76">
        <f t="shared" ref="N345:N350" si="102">J345*G345</f>
        <v>299.15000000000003</v>
      </c>
      <c r="O345" s="76">
        <f t="shared" ref="O345:O350" si="103">H345-N345</f>
        <v>0</v>
      </c>
      <c r="P345" s="90">
        <f t="shared" ref="P345:P367" si="104">N345/H345</f>
        <v>1.0000000000000002</v>
      </c>
      <c r="Q345" s="51"/>
      <c r="T345" s="53">
        <v>15.13</v>
      </c>
    </row>
    <row r="346" spans="1:20" s="56" customFormat="1" ht="24" x14ac:dyDescent="0.2">
      <c r="A346" s="73" t="s">
        <v>78</v>
      </c>
      <c r="B346" s="80">
        <v>43102</v>
      </c>
      <c r="C346" s="74" t="s">
        <v>659</v>
      </c>
      <c r="D346" s="73" t="s">
        <v>81</v>
      </c>
      <c r="E346" s="75">
        <v>127.6</v>
      </c>
      <c r="F346" s="75">
        <f t="shared" si="97"/>
        <v>29.08</v>
      </c>
      <c r="G346" s="75">
        <f t="shared" si="98"/>
        <v>37.1</v>
      </c>
      <c r="H346" s="76">
        <f t="shared" si="99"/>
        <v>4733.96</v>
      </c>
      <c r="I346" s="75"/>
      <c r="J346" s="75">
        <v>127.6</v>
      </c>
      <c r="K346" s="75">
        <f t="shared" si="96"/>
        <v>0</v>
      </c>
      <c r="L346" s="76">
        <f t="shared" si="100"/>
        <v>3710.61</v>
      </c>
      <c r="M346" s="76">
        <f t="shared" si="101"/>
        <v>0</v>
      </c>
      <c r="N346" s="76">
        <f t="shared" si="102"/>
        <v>4733.96</v>
      </c>
      <c r="O346" s="76">
        <f t="shared" si="103"/>
        <v>0</v>
      </c>
      <c r="P346" s="90">
        <f t="shared" si="104"/>
        <v>1</v>
      </c>
      <c r="Q346" s="51"/>
      <c r="T346" s="53">
        <v>29.08</v>
      </c>
    </row>
    <row r="347" spans="1:20" s="56" customFormat="1" ht="24" x14ac:dyDescent="0.2">
      <c r="A347" s="73" t="s">
        <v>78</v>
      </c>
      <c r="B347" s="80">
        <v>43103</v>
      </c>
      <c r="C347" s="74" t="s">
        <v>660</v>
      </c>
      <c r="D347" s="73" t="s">
        <v>81</v>
      </c>
      <c r="E347" s="75">
        <v>18</v>
      </c>
      <c r="F347" s="75">
        <f t="shared" si="97"/>
        <v>25.97</v>
      </c>
      <c r="G347" s="75">
        <f t="shared" si="98"/>
        <v>33.14</v>
      </c>
      <c r="H347" s="76">
        <f t="shared" si="99"/>
        <v>596.52</v>
      </c>
      <c r="I347" s="75"/>
      <c r="J347" s="75">
        <v>18</v>
      </c>
      <c r="K347" s="75">
        <f t="shared" si="96"/>
        <v>0</v>
      </c>
      <c r="L347" s="76">
        <f t="shared" si="100"/>
        <v>467.46</v>
      </c>
      <c r="M347" s="76">
        <f t="shared" si="101"/>
        <v>0</v>
      </c>
      <c r="N347" s="76">
        <f t="shared" si="102"/>
        <v>596.52</v>
      </c>
      <c r="O347" s="76">
        <f t="shared" si="103"/>
        <v>0</v>
      </c>
      <c r="P347" s="90">
        <f t="shared" si="104"/>
        <v>1</v>
      </c>
      <c r="Q347" s="51"/>
      <c r="T347" s="53">
        <v>25.97</v>
      </c>
    </row>
    <row r="348" spans="1:20" s="56" customFormat="1" ht="24" x14ac:dyDescent="0.2">
      <c r="A348" s="73" t="s">
        <v>78</v>
      </c>
      <c r="B348" s="80">
        <v>43104</v>
      </c>
      <c r="C348" s="74" t="s">
        <v>661</v>
      </c>
      <c r="D348" s="73" t="s">
        <v>81</v>
      </c>
      <c r="E348" s="75">
        <v>28.7</v>
      </c>
      <c r="F348" s="75">
        <f t="shared" si="97"/>
        <v>39.630000000000003</v>
      </c>
      <c r="G348" s="75">
        <f t="shared" si="98"/>
        <v>50.56</v>
      </c>
      <c r="H348" s="76">
        <f t="shared" si="99"/>
        <v>1451.07</v>
      </c>
      <c r="I348" s="75"/>
      <c r="J348" s="75">
        <v>28.7</v>
      </c>
      <c r="K348" s="75">
        <f t="shared" si="96"/>
        <v>0</v>
      </c>
      <c r="L348" s="76">
        <f t="shared" si="100"/>
        <v>1137.3800000000001</v>
      </c>
      <c r="M348" s="76">
        <f t="shared" si="101"/>
        <v>0</v>
      </c>
      <c r="N348" s="76">
        <f t="shared" si="102"/>
        <v>1451.0720000000001</v>
      </c>
      <c r="O348" s="76">
        <f t="shared" si="103"/>
        <v>-2.00000000018008E-3</v>
      </c>
      <c r="P348" s="90">
        <f t="shared" si="104"/>
        <v>1.0000013782932595</v>
      </c>
      <c r="Q348" s="51"/>
      <c r="T348" s="53">
        <v>39.630000000000003</v>
      </c>
    </row>
    <row r="349" spans="1:20" s="56" customFormat="1" ht="24" x14ac:dyDescent="0.2">
      <c r="A349" s="73" t="s">
        <v>78</v>
      </c>
      <c r="B349" s="80">
        <v>43105</v>
      </c>
      <c r="C349" s="74" t="s">
        <v>662</v>
      </c>
      <c r="D349" s="73" t="s">
        <v>81</v>
      </c>
      <c r="E349" s="75">
        <v>34.9</v>
      </c>
      <c r="F349" s="75">
        <f t="shared" si="97"/>
        <v>65.430000000000007</v>
      </c>
      <c r="G349" s="75">
        <f t="shared" si="98"/>
        <v>83.48</v>
      </c>
      <c r="H349" s="76">
        <f t="shared" si="99"/>
        <v>2913.45</v>
      </c>
      <c r="I349" s="75"/>
      <c r="J349" s="75">
        <v>34.9</v>
      </c>
      <c r="K349" s="75">
        <f t="shared" si="96"/>
        <v>0</v>
      </c>
      <c r="L349" s="76">
        <f t="shared" si="100"/>
        <v>2283.5100000000002</v>
      </c>
      <c r="M349" s="76">
        <f t="shared" si="101"/>
        <v>0</v>
      </c>
      <c r="N349" s="76">
        <f t="shared" si="102"/>
        <v>2913.4520000000002</v>
      </c>
      <c r="O349" s="76">
        <f t="shared" si="103"/>
        <v>-2.0000000004074536E-3</v>
      </c>
      <c r="P349" s="90">
        <f t="shared" si="104"/>
        <v>1.0000006864713658</v>
      </c>
      <c r="Q349" s="51"/>
      <c r="T349" s="53">
        <v>65.430000000000007</v>
      </c>
    </row>
    <row r="350" spans="1:20" s="56" customFormat="1" ht="24" x14ac:dyDescent="0.2">
      <c r="A350" s="73" t="s">
        <v>78</v>
      </c>
      <c r="B350" s="80">
        <v>43106</v>
      </c>
      <c r="C350" s="74" t="s">
        <v>663</v>
      </c>
      <c r="D350" s="73" t="s">
        <v>81</v>
      </c>
      <c r="E350" s="75">
        <v>13</v>
      </c>
      <c r="F350" s="75">
        <f t="shared" si="97"/>
        <v>103.37</v>
      </c>
      <c r="G350" s="75">
        <f t="shared" si="98"/>
        <v>131.88999999999999</v>
      </c>
      <c r="H350" s="76">
        <f t="shared" si="99"/>
        <v>1714.57</v>
      </c>
      <c r="I350" s="75"/>
      <c r="J350" s="75">
        <v>13</v>
      </c>
      <c r="K350" s="75">
        <f t="shared" si="96"/>
        <v>0</v>
      </c>
      <c r="L350" s="76">
        <f t="shared" si="100"/>
        <v>1343.81</v>
      </c>
      <c r="M350" s="76">
        <f t="shared" si="101"/>
        <v>0</v>
      </c>
      <c r="N350" s="76">
        <f t="shared" si="102"/>
        <v>1714.5699999999997</v>
      </c>
      <c r="O350" s="76">
        <f t="shared" si="103"/>
        <v>0</v>
      </c>
      <c r="P350" s="90">
        <f t="shared" si="104"/>
        <v>0.99999999999999989</v>
      </c>
      <c r="Q350" s="51"/>
      <c r="T350" s="53">
        <v>103.37</v>
      </c>
    </row>
    <row r="351" spans="1:20" s="56" customFormat="1" ht="12" x14ac:dyDescent="0.2">
      <c r="A351" s="72"/>
      <c r="B351" s="70" t="s">
        <v>664</v>
      </c>
      <c r="C351" s="71" t="s">
        <v>665</v>
      </c>
      <c r="D351" s="72"/>
      <c r="E351" s="72"/>
      <c r="F351" s="75"/>
      <c r="G351" s="72"/>
      <c r="H351" s="72"/>
      <c r="I351" s="72"/>
      <c r="J351" s="75"/>
      <c r="K351" s="75"/>
      <c r="L351" s="72"/>
      <c r="M351" s="72"/>
      <c r="N351" s="72"/>
      <c r="O351" s="72"/>
      <c r="P351" s="90"/>
      <c r="Q351" s="52"/>
      <c r="T351" s="52"/>
    </row>
    <row r="352" spans="1:20" s="56" customFormat="1" ht="24" x14ac:dyDescent="0.2">
      <c r="A352" s="94">
        <v>89592</v>
      </c>
      <c r="B352" s="80">
        <v>43132</v>
      </c>
      <c r="C352" s="74" t="s">
        <v>666</v>
      </c>
      <c r="D352" s="73" t="s">
        <v>102</v>
      </c>
      <c r="E352" s="75">
        <v>11</v>
      </c>
      <c r="F352" s="75">
        <f>ROUND(T352*$T$10,2)</f>
        <v>231.71</v>
      </c>
      <c r="G352" s="75">
        <f>ROUND(F352*(1+$U$1),2)</f>
        <v>295.64</v>
      </c>
      <c r="H352" s="76">
        <f>ROUND(E352*G352,2)</f>
        <v>3252.04</v>
      </c>
      <c r="I352" s="75"/>
      <c r="J352" s="75">
        <v>11</v>
      </c>
      <c r="K352" s="75">
        <f t="shared" si="96"/>
        <v>0</v>
      </c>
      <c r="L352" s="76">
        <f>ROUND(E352*F352,2)</f>
        <v>2548.81</v>
      </c>
      <c r="M352" s="76">
        <f>I352*G352</f>
        <v>0</v>
      </c>
      <c r="N352" s="76">
        <f>J352*G352</f>
        <v>3252.04</v>
      </c>
      <c r="O352" s="76">
        <f>H352-N352</f>
        <v>0</v>
      </c>
      <c r="P352" s="90">
        <f t="shared" si="104"/>
        <v>1</v>
      </c>
      <c r="Q352" s="51"/>
      <c r="T352" s="53">
        <v>231.71</v>
      </c>
    </row>
    <row r="353" spans="1:20" s="56" customFormat="1" ht="24" x14ac:dyDescent="0.2">
      <c r="A353" s="94">
        <v>89587</v>
      </c>
      <c r="B353" s="80">
        <v>43133</v>
      </c>
      <c r="C353" s="74" t="s">
        <v>667</v>
      </c>
      <c r="D353" s="73" t="s">
        <v>102</v>
      </c>
      <c r="E353" s="75">
        <v>1</v>
      </c>
      <c r="F353" s="75">
        <f>ROUND(T353*$T$10,2)</f>
        <v>35.79</v>
      </c>
      <c r="G353" s="75">
        <f>ROUND(F353*(1+$U$1),2)</f>
        <v>45.66</v>
      </c>
      <c r="H353" s="76">
        <f>ROUND(E353*G353,2)</f>
        <v>45.66</v>
      </c>
      <c r="I353" s="75"/>
      <c r="J353" s="75">
        <v>1</v>
      </c>
      <c r="K353" s="75">
        <f t="shared" si="96"/>
        <v>0</v>
      </c>
      <c r="L353" s="76">
        <f>ROUND(E353*F353,2)</f>
        <v>35.79</v>
      </c>
      <c r="M353" s="76">
        <f>I353*G353</f>
        <v>0</v>
      </c>
      <c r="N353" s="76">
        <f>J353*G353</f>
        <v>45.66</v>
      </c>
      <c r="O353" s="76">
        <f>H353-N353</f>
        <v>0</v>
      </c>
      <c r="P353" s="90">
        <f t="shared" si="104"/>
        <v>1</v>
      </c>
      <c r="Q353" s="51"/>
      <c r="T353" s="53">
        <v>35.79</v>
      </c>
    </row>
    <row r="354" spans="1:20" s="56" customFormat="1" ht="12" x14ac:dyDescent="0.2">
      <c r="A354" s="72"/>
      <c r="B354" s="70" t="s">
        <v>668</v>
      </c>
      <c r="C354" s="71" t="s">
        <v>635</v>
      </c>
      <c r="D354" s="72"/>
      <c r="E354" s="72"/>
      <c r="F354" s="75"/>
      <c r="G354" s="72"/>
      <c r="H354" s="72"/>
      <c r="I354" s="72"/>
      <c r="J354" s="75"/>
      <c r="K354" s="75"/>
      <c r="L354" s="72"/>
      <c r="M354" s="72"/>
      <c r="N354" s="72"/>
      <c r="O354" s="72"/>
      <c r="P354" s="90"/>
      <c r="Q354" s="52"/>
      <c r="T354" s="52"/>
    </row>
    <row r="355" spans="1:20" s="56" customFormat="1" ht="24" x14ac:dyDescent="0.2">
      <c r="A355" s="94">
        <v>89591</v>
      </c>
      <c r="B355" s="80">
        <v>43160</v>
      </c>
      <c r="C355" s="74" t="s">
        <v>669</v>
      </c>
      <c r="D355" s="73" t="s">
        <v>102</v>
      </c>
      <c r="E355" s="75">
        <v>2</v>
      </c>
      <c r="F355" s="75">
        <f>ROUND(T355*$T$10,2)</f>
        <v>56.03</v>
      </c>
      <c r="G355" s="75">
        <f>ROUND(F355*(1+$U$1),2)</f>
        <v>71.489999999999995</v>
      </c>
      <c r="H355" s="76">
        <f>ROUND(E355*G355,2)</f>
        <v>142.97999999999999</v>
      </c>
      <c r="I355" s="75"/>
      <c r="J355" s="75">
        <v>2</v>
      </c>
      <c r="K355" s="75">
        <f t="shared" si="96"/>
        <v>0</v>
      </c>
      <c r="L355" s="76">
        <f>ROUND(E355*F355,2)</f>
        <v>112.06</v>
      </c>
      <c r="M355" s="76">
        <f>I355*G355</f>
        <v>0</v>
      </c>
      <c r="N355" s="76">
        <f>J355*G355</f>
        <v>142.97999999999999</v>
      </c>
      <c r="O355" s="76">
        <f>H355-N355</f>
        <v>0</v>
      </c>
      <c r="P355" s="90">
        <f t="shared" si="104"/>
        <v>1</v>
      </c>
      <c r="Q355" s="51"/>
      <c r="T355" s="53">
        <v>56.03</v>
      </c>
    </row>
    <row r="356" spans="1:20" s="56" customFormat="1" ht="24" x14ac:dyDescent="0.2">
      <c r="A356" s="94">
        <v>89590</v>
      </c>
      <c r="B356" s="80">
        <v>43161</v>
      </c>
      <c r="C356" s="74" t="s">
        <v>670</v>
      </c>
      <c r="D356" s="73" t="s">
        <v>102</v>
      </c>
      <c r="E356" s="75">
        <v>2</v>
      </c>
      <c r="F356" s="75">
        <f>ROUND(T356*$T$10,2)</f>
        <v>68.44</v>
      </c>
      <c r="G356" s="75">
        <f>ROUND(F356*(1+$U$1),2)</f>
        <v>87.32</v>
      </c>
      <c r="H356" s="76">
        <f>ROUND(E356*G356,2)</f>
        <v>174.64</v>
      </c>
      <c r="I356" s="75"/>
      <c r="J356" s="75">
        <v>2</v>
      </c>
      <c r="K356" s="75">
        <f t="shared" si="96"/>
        <v>0</v>
      </c>
      <c r="L356" s="76">
        <f>ROUND(E356*F356,2)</f>
        <v>136.88</v>
      </c>
      <c r="M356" s="76">
        <f>I356*G356</f>
        <v>0</v>
      </c>
      <c r="N356" s="76">
        <f>J356*G356</f>
        <v>174.64</v>
      </c>
      <c r="O356" s="76">
        <f>H356-N356</f>
        <v>0</v>
      </c>
      <c r="P356" s="90">
        <f t="shared" si="104"/>
        <v>1</v>
      </c>
      <c r="Q356" s="51"/>
      <c r="T356" s="53">
        <v>68.44</v>
      </c>
    </row>
    <row r="357" spans="1:20" s="56" customFormat="1" ht="12" x14ac:dyDescent="0.2">
      <c r="A357" s="72"/>
      <c r="B357" s="70" t="s">
        <v>671</v>
      </c>
      <c r="C357" s="71" t="s">
        <v>641</v>
      </c>
      <c r="D357" s="72"/>
      <c r="E357" s="72"/>
      <c r="F357" s="75"/>
      <c r="G357" s="72"/>
      <c r="H357" s="72"/>
      <c r="I357" s="72"/>
      <c r="J357" s="75"/>
      <c r="K357" s="75"/>
      <c r="L357" s="72"/>
      <c r="M357" s="72"/>
      <c r="N357" s="72"/>
      <c r="O357" s="72"/>
      <c r="P357" s="90"/>
      <c r="Q357" s="52"/>
      <c r="T357" s="52"/>
    </row>
    <row r="358" spans="1:20" s="56" customFormat="1" ht="12" x14ac:dyDescent="0.2">
      <c r="A358" s="94">
        <v>89554</v>
      </c>
      <c r="B358" s="80">
        <v>43191</v>
      </c>
      <c r="C358" s="74" t="s">
        <v>672</v>
      </c>
      <c r="D358" s="73" t="s">
        <v>102</v>
      </c>
      <c r="E358" s="75">
        <v>2</v>
      </c>
      <c r="F358" s="75">
        <f t="shared" ref="F358:F364" si="105">ROUND(T358*$T$10,2)</f>
        <v>12.67</v>
      </c>
      <c r="G358" s="75">
        <f t="shared" ref="G358:G364" si="106">ROUND(F358*(1+$U$1),2)</f>
        <v>16.170000000000002</v>
      </c>
      <c r="H358" s="76">
        <f t="shared" ref="H358:H364" si="107">ROUND(E358*G358,2)</f>
        <v>32.340000000000003</v>
      </c>
      <c r="I358" s="75"/>
      <c r="J358" s="75">
        <v>2</v>
      </c>
      <c r="K358" s="75">
        <f t="shared" si="96"/>
        <v>0</v>
      </c>
      <c r="L358" s="76">
        <f t="shared" ref="L358:L364" si="108">ROUND(E358*F358,2)</f>
        <v>25.34</v>
      </c>
      <c r="M358" s="76">
        <f t="shared" ref="M358:M364" si="109">I358*G358</f>
        <v>0</v>
      </c>
      <c r="N358" s="76">
        <f t="shared" ref="N358:N364" si="110">J358*G358</f>
        <v>32.340000000000003</v>
      </c>
      <c r="O358" s="76">
        <f t="shared" ref="O358:O364" si="111">H358-N358</f>
        <v>0</v>
      </c>
      <c r="P358" s="90">
        <f t="shared" si="104"/>
        <v>1</v>
      </c>
      <c r="Q358" s="51"/>
      <c r="T358" s="53">
        <v>12.67</v>
      </c>
    </row>
    <row r="359" spans="1:20" s="56" customFormat="1" ht="12" x14ac:dyDescent="0.2">
      <c r="A359" s="94">
        <v>89677</v>
      </c>
      <c r="B359" s="80">
        <v>43192</v>
      </c>
      <c r="C359" s="74" t="s">
        <v>673</v>
      </c>
      <c r="D359" s="73" t="s">
        <v>102</v>
      </c>
      <c r="E359" s="75">
        <v>5</v>
      </c>
      <c r="F359" s="75">
        <f t="shared" si="105"/>
        <v>34.049999999999997</v>
      </c>
      <c r="G359" s="75">
        <f t="shared" si="106"/>
        <v>43.44</v>
      </c>
      <c r="H359" s="76">
        <f t="shared" si="107"/>
        <v>217.2</v>
      </c>
      <c r="I359" s="75"/>
      <c r="J359" s="75">
        <v>5</v>
      </c>
      <c r="K359" s="75">
        <f t="shared" si="96"/>
        <v>0</v>
      </c>
      <c r="L359" s="76">
        <f t="shared" si="108"/>
        <v>170.25</v>
      </c>
      <c r="M359" s="76">
        <f t="shared" si="109"/>
        <v>0</v>
      </c>
      <c r="N359" s="76">
        <f t="shared" si="110"/>
        <v>217.2</v>
      </c>
      <c r="O359" s="76">
        <f t="shared" si="111"/>
        <v>0</v>
      </c>
      <c r="P359" s="90">
        <f t="shared" si="104"/>
        <v>1</v>
      </c>
      <c r="Q359" s="51"/>
      <c r="T359" s="53">
        <v>34.049999999999997</v>
      </c>
    </row>
    <row r="360" spans="1:20" s="56" customFormat="1" ht="24" x14ac:dyDescent="0.2">
      <c r="A360" s="94">
        <v>3833</v>
      </c>
      <c r="B360" s="80">
        <v>43193</v>
      </c>
      <c r="C360" s="74" t="s">
        <v>674</v>
      </c>
      <c r="D360" s="73" t="s">
        <v>102</v>
      </c>
      <c r="E360" s="75">
        <v>1</v>
      </c>
      <c r="F360" s="75">
        <f t="shared" si="105"/>
        <v>8.4600000000000009</v>
      </c>
      <c r="G360" s="75">
        <f t="shared" si="106"/>
        <v>10.79</v>
      </c>
      <c r="H360" s="76">
        <f t="shared" si="107"/>
        <v>10.79</v>
      </c>
      <c r="I360" s="75"/>
      <c r="J360" s="75">
        <v>1</v>
      </c>
      <c r="K360" s="75">
        <f t="shared" si="96"/>
        <v>0</v>
      </c>
      <c r="L360" s="76">
        <f t="shared" si="108"/>
        <v>8.4600000000000009</v>
      </c>
      <c r="M360" s="76">
        <f t="shared" si="109"/>
        <v>0</v>
      </c>
      <c r="N360" s="76">
        <f t="shared" si="110"/>
        <v>10.79</v>
      </c>
      <c r="O360" s="76">
        <f t="shared" si="111"/>
        <v>0</v>
      </c>
      <c r="P360" s="90">
        <f t="shared" si="104"/>
        <v>1</v>
      </c>
      <c r="Q360" s="51"/>
      <c r="T360" s="53">
        <v>8.4600000000000009</v>
      </c>
    </row>
    <row r="361" spans="1:20" s="56" customFormat="1" ht="24" x14ac:dyDescent="0.2">
      <c r="A361" s="94">
        <v>3835</v>
      </c>
      <c r="B361" s="80">
        <v>43194</v>
      </c>
      <c r="C361" s="74" t="s">
        <v>675</v>
      </c>
      <c r="D361" s="73" t="s">
        <v>102</v>
      </c>
      <c r="E361" s="75">
        <v>1</v>
      </c>
      <c r="F361" s="75">
        <f t="shared" si="105"/>
        <v>18.989999999999998</v>
      </c>
      <c r="G361" s="75">
        <f t="shared" si="106"/>
        <v>24.23</v>
      </c>
      <c r="H361" s="76">
        <f t="shared" si="107"/>
        <v>24.23</v>
      </c>
      <c r="I361" s="75"/>
      <c r="J361" s="75">
        <v>1</v>
      </c>
      <c r="K361" s="75">
        <f t="shared" si="96"/>
        <v>0</v>
      </c>
      <c r="L361" s="76">
        <f t="shared" si="108"/>
        <v>18.989999999999998</v>
      </c>
      <c r="M361" s="76">
        <f t="shared" si="109"/>
        <v>0</v>
      </c>
      <c r="N361" s="76">
        <f t="shared" si="110"/>
        <v>24.23</v>
      </c>
      <c r="O361" s="76">
        <f t="shared" si="111"/>
        <v>0</v>
      </c>
      <c r="P361" s="90">
        <f t="shared" si="104"/>
        <v>1</v>
      </c>
      <c r="Q361" s="51"/>
      <c r="T361" s="53">
        <v>18.989999999999998</v>
      </c>
    </row>
    <row r="362" spans="1:20" s="56" customFormat="1" ht="24" x14ac:dyDescent="0.2">
      <c r="A362" s="94">
        <v>3836</v>
      </c>
      <c r="B362" s="80">
        <v>43195</v>
      </c>
      <c r="C362" s="74" t="s">
        <v>676</v>
      </c>
      <c r="D362" s="73" t="s">
        <v>102</v>
      </c>
      <c r="E362" s="75">
        <v>3</v>
      </c>
      <c r="F362" s="75">
        <f t="shared" si="105"/>
        <v>49.1</v>
      </c>
      <c r="G362" s="75">
        <f t="shared" si="106"/>
        <v>62.65</v>
      </c>
      <c r="H362" s="76">
        <f t="shared" si="107"/>
        <v>187.95</v>
      </c>
      <c r="I362" s="75"/>
      <c r="J362" s="75">
        <v>3</v>
      </c>
      <c r="K362" s="75">
        <f t="shared" si="96"/>
        <v>0</v>
      </c>
      <c r="L362" s="76">
        <f t="shared" si="108"/>
        <v>147.30000000000001</v>
      </c>
      <c r="M362" s="76">
        <f t="shared" si="109"/>
        <v>0</v>
      </c>
      <c r="N362" s="76">
        <f t="shared" si="110"/>
        <v>187.95</v>
      </c>
      <c r="O362" s="76">
        <f t="shared" si="111"/>
        <v>0</v>
      </c>
      <c r="P362" s="90">
        <f t="shared" si="104"/>
        <v>1</v>
      </c>
      <c r="Q362" s="51"/>
      <c r="T362" s="53">
        <v>49.1</v>
      </c>
    </row>
    <row r="363" spans="1:20" s="56" customFormat="1" ht="24" x14ac:dyDescent="0.2">
      <c r="A363" s="94">
        <v>3830</v>
      </c>
      <c r="B363" s="80">
        <v>43196</v>
      </c>
      <c r="C363" s="74" t="s">
        <v>677</v>
      </c>
      <c r="D363" s="73" t="s">
        <v>102</v>
      </c>
      <c r="E363" s="75">
        <v>2</v>
      </c>
      <c r="F363" s="75">
        <f t="shared" si="105"/>
        <v>80.83</v>
      </c>
      <c r="G363" s="75">
        <f t="shared" si="106"/>
        <v>103.13</v>
      </c>
      <c r="H363" s="76">
        <f t="shared" si="107"/>
        <v>206.26</v>
      </c>
      <c r="I363" s="75"/>
      <c r="J363" s="75">
        <v>2</v>
      </c>
      <c r="K363" s="75">
        <f t="shared" si="96"/>
        <v>0</v>
      </c>
      <c r="L363" s="76">
        <f t="shared" si="108"/>
        <v>161.66</v>
      </c>
      <c r="M363" s="76">
        <f t="shared" si="109"/>
        <v>0</v>
      </c>
      <c r="N363" s="76">
        <f t="shared" si="110"/>
        <v>206.26</v>
      </c>
      <c r="O363" s="76">
        <f t="shared" si="111"/>
        <v>0</v>
      </c>
      <c r="P363" s="90">
        <f t="shared" si="104"/>
        <v>1</v>
      </c>
      <c r="Q363" s="51"/>
      <c r="T363" s="53">
        <v>80.83</v>
      </c>
    </row>
    <row r="364" spans="1:20" s="56" customFormat="1" ht="24" x14ac:dyDescent="0.2">
      <c r="A364" s="94">
        <v>3831</v>
      </c>
      <c r="B364" s="80">
        <v>43197</v>
      </c>
      <c r="C364" s="74" t="s">
        <v>678</v>
      </c>
      <c r="D364" s="73" t="s">
        <v>102</v>
      </c>
      <c r="E364" s="75">
        <v>1</v>
      </c>
      <c r="F364" s="75">
        <f t="shared" si="105"/>
        <v>125.22</v>
      </c>
      <c r="G364" s="75">
        <f t="shared" si="106"/>
        <v>159.77000000000001</v>
      </c>
      <c r="H364" s="76">
        <f t="shared" si="107"/>
        <v>159.77000000000001</v>
      </c>
      <c r="I364" s="75"/>
      <c r="J364" s="75">
        <v>1</v>
      </c>
      <c r="K364" s="75">
        <f t="shared" si="96"/>
        <v>0</v>
      </c>
      <c r="L364" s="76">
        <f t="shared" si="108"/>
        <v>125.22</v>
      </c>
      <c r="M364" s="76">
        <f t="shared" si="109"/>
        <v>0</v>
      </c>
      <c r="N364" s="76">
        <f t="shared" si="110"/>
        <v>159.77000000000001</v>
      </c>
      <c r="O364" s="76">
        <f t="shared" si="111"/>
        <v>0</v>
      </c>
      <c r="P364" s="90">
        <f t="shared" si="104"/>
        <v>1</v>
      </c>
      <c r="Q364" s="51"/>
      <c r="T364" s="53">
        <v>125.22</v>
      </c>
    </row>
    <row r="365" spans="1:20" s="56" customFormat="1" ht="12" x14ac:dyDescent="0.2">
      <c r="A365" s="72"/>
      <c r="B365" s="70" t="s">
        <v>679</v>
      </c>
      <c r="C365" s="71" t="s">
        <v>680</v>
      </c>
      <c r="D365" s="72"/>
      <c r="E365" s="72"/>
      <c r="F365" s="75"/>
      <c r="G365" s="72"/>
      <c r="H365" s="72"/>
      <c r="I365" s="72"/>
      <c r="J365" s="75"/>
      <c r="K365" s="75"/>
      <c r="L365" s="72"/>
      <c r="M365" s="72"/>
      <c r="N365" s="72"/>
      <c r="O365" s="72"/>
      <c r="P365" s="90"/>
      <c r="Q365" s="52"/>
      <c r="T365" s="52"/>
    </row>
    <row r="366" spans="1:20" s="56" customFormat="1" ht="24" x14ac:dyDescent="0.2">
      <c r="A366" s="94">
        <v>38448</v>
      </c>
      <c r="B366" s="80">
        <v>43221</v>
      </c>
      <c r="C366" s="74" t="s">
        <v>681</v>
      </c>
      <c r="D366" s="73" t="s">
        <v>102</v>
      </c>
      <c r="E366" s="75">
        <v>11</v>
      </c>
      <c r="F366" s="75">
        <f>ROUND(T366*$T$10,2)</f>
        <v>149.65</v>
      </c>
      <c r="G366" s="75">
        <f>ROUND(F366*(1+$U$1),2)</f>
        <v>190.94</v>
      </c>
      <c r="H366" s="76">
        <f>ROUND(E366*G366,2)</f>
        <v>2100.34</v>
      </c>
      <c r="I366" s="75"/>
      <c r="J366" s="75">
        <v>11</v>
      </c>
      <c r="K366" s="75">
        <f t="shared" si="96"/>
        <v>0</v>
      </c>
      <c r="L366" s="76">
        <f>ROUND(E366*F366,2)</f>
        <v>1646.15</v>
      </c>
      <c r="M366" s="76">
        <f>I366*G366</f>
        <v>0</v>
      </c>
      <c r="N366" s="76">
        <f>J366*G366</f>
        <v>2100.34</v>
      </c>
      <c r="O366" s="76">
        <f>H366-N366</f>
        <v>0</v>
      </c>
      <c r="P366" s="90">
        <f t="shared" si="104"/>
        <v>1</v>
      </c>
      <c r="Q366" s="51"/>
      <c r="T366" s="53">
        <v>149.65</v>
      </c>
    </row>
    <row r="367" spans="1:20" s="56" customFormat="1" ht="24" x14ac:dyDescent="0.2">
      <c r="A367" s="94">
        <v>20183</v>
      </c>
      <c r="B367" s="80">
        <v>43222</v>
      </c>
      <c r="C367" s="74" t="s">
        <v>682</v>
      </c>
      <c r="D367" s="73" t="s">
        <v>102</v>
      </c>
      <c r="E367" s="75">
        <v>1</v>
      </c>
      <c r="F367" s="75">
        <f>ROUND(T367*$T$10,2)</f>
        <v>28.2</v>
      </c>
      <c r="G367" s="75">
        <f>ROUND(F367*(1+$U$1),2)</f>
        <v>35.979999999999997</v>
      </c>
      <c r="H367" s="76">
        <f>ROUND(E367*G367,2)</f>
        <v>35.979999999999997</v>
      </c>
      <c r="I367" s="75"/>
      <c r="J367" s="75">
        <v>1</v>
      </c>
      <c r="K367" s="75">
        <f t="shared" si="96"/>
        <v>0</v>
      </c>
      <c r="L367" s="76">
        <f>ROUND(E367*F367,2)</f>
        <v>28.2</v>
      </c>
      <c r="M367" s="76">
        <f>I367*G367</f>
        <v>0</v>
      </c>
      <c r="N367" s="76">
        <f>J367*G367</f>
        <v>35.979999999999997</v>
      </c>
      <c r="O367" s="76">
        <f>H367-N367</f>
        <v>0</v>
      </c>
      <c r="P367" s="90">
        <f t="shared" si="104"/>
        <v>1</v>
      </c>
      <c r="Q367" s="51"/>
      <c r="T367" s="53">
        <v>28.2</v>
      </c>
    </row>
    <row r="368" spans="1:20" s="56" customFormat="1" ht="12" x14ac:dyDescent="0.2">
      <c r="A368" s="72"/>
      <c r="B368" s="71"/>
      <c r="C368" s="71"/>
      <c r="D368" s="71"/>
      <c r="E368" s="71"/>
      <c r="F368" s="75"/>
      <c r="G368" s="77" t="s">
        <v>683</v>
      </c>
      <c r="H368" s="78">
        <f>SUM(H345:H367)</f>
        <v>18298.899999999998</v>
      </c>
      <c r="I368" s="71"/>
      <c r="J368" s="75">
        <v>0</v>
      </c>
      <c r="K368" s="75"/>
      <c r="L368" s="78">
        <f>SUM(L345:L367)</f>
        <v>14342.399999999998</v>
      </c>
      <c r="M368" s="78">
        <f>SUM(M345:M367)</f>
        <v>0</v>
      </c>
      <c r="N368" s="78">
        <f>SUM(N345:N367)</f>
        <v>18298.903999999999</v>
      </c>
      <c r="O368" s="78">
        <f>SUM(O345:O367)</f>
        <v>-4.0000000005875336E-3</v>
      </c>
      <c r="P368" s="91">
        <f>N368/H368</f>
        <v>1.0000002185923744</v>
      </c>
      <c r="Q368" s="60"/>
      <c r="T368" s="59"/>
    </row>
    <row r="369" spans="1:20" s="56" customFormat="1" ht="12" x14ac:dyDescent="0.2">
      <c r="A369" s="72"/>
      <c r="B369" s="83">
        <v>19</v>
      </c>
      <c r="C369" s="71" t="s">
        <v>684</v>
      </c>
      <c r="D369" s="72"/>
      <c r="E369" s="72"/>
      <c r="F369" s="75"/>
      <c r="G369" s="72"/>
      <c r="H369" s="72"/>
      <c r="I369" s="72"/>
      <c r="J369" s="75">
        <v>0</v>
      </c>
      <c r="K369" s="75"/>
      <c r="L369" s="72"/>
      <c r="M369" s="72"/>
      <c r="N369" s="72"/>
      <c r="O369" s="72"/>
      <c r="P369" s="72"/>
      <c r="Q369" s="52"/>
      <c r="T369" s="52"/>
    </row>
    <row r="370" spans="1:20" s="56" customFormat="1" ht="12" x14ac:dyDescent="0.2">
      <c r="A370" s="72"/>
      <c r="B370" s="70" t="s">
        <v>685</v>
      </c>
      <c r="C370" s="71" t="s">
        <v>686</v>
      </c>
      <c r="D370" s="72"/>
      <c r="E370" s="72"/>
      <c r="F370" s="75"/>
      <c r="G370" s="72"/>
      <c r="H370" s="72"/>
      <c r="I370" s="72"/>
      <c r="J370" s="75">
        <v>0</v>
      </c>
      <c r="K370" s="75"/>
      <c r="L370" s="72"/>
      <c r="M370" s="76"/>
      <c r="N370" s="76"/>
      <c r="O370" s="76"/>
      <c r="P370" s="72"/>
      <c r="Q370" s="52"/>
      <c r="T370" s="52"/>
    </row>
    <row r="371" spans="1:20" s="56" customFormat="1" ht="12" x14ac:dyDescent="0.2">
      <c r="A371" s="73" t="s">
        <v>687</v>
      </c>
      <c r="B371" s="80">
        <v>43466</v>
      </c>
      <c r="C371" s="74" t="s">
        <v>688</v>
      </c>
      <c r="D371" s="73" t="s">
        <v>102</v>
      </c>
      <c r="E371" s="75">
        <v>11</v>
      </c>
      <c r="F371" s="75">
        <f>ROUND(T371*$T$10,2)</f>
        <v>45.06</v>
      </c>
      <c r="G371" s="75">
        <f>ROUND(F371*(1+$U$1),2)</f>
        <v>57.49</v>
      </c>
      <c r="H371" s="76">
        <f>ROUND(E371*G371,2)</f>
        <v>632.39</v>
      </c>
      <c r="I371" s="75"/>
      <c r="J371" s="75">
        <v>11</v>
      </c>
      <c r="K371" s="75">
        <f t="shared" si="96"/>
        <v>0</v>
      </c>
      <c r="L371" s="76">
        <f>ROUND(E371*F371,2)</f>
        <v>495.66</v>
      </c>
      <c r="M371" s="76">
        <f>I371*G371</f>
        <v>0</v>
      </c>
      <c r="N371" s="76">
        <f>J371*G371</f>
        <v>632.39</v>
      </c>
      <c r="O371" s="76">
        <f>H371-N371</f>
        <v>0</v>
      </c>
      <c r="P371" s="90">
        <f>N371/H371</f>
        <v>1</v>
      </c>
      <c r="Q371" s="51"/>
      <c r="T371" s="53">
        <v>45.06</v>
      </c>
    </row>
    <row r="372" spans="1:20" s="56" customFormat="1" ht="12" x14ac:dyDescent="0.2">
      <c r="A372" s="73" t="s">
        <v>689</v>
      </c>
      <c r="B372" s="80">
        <v>43467</v>
      </c>
      <c r="C372" s="74" t="s">
        <v>690</v>
      </c>
      <c r="D372" s="73" t="s">
        <v>102</v>
      </c>
      <c r="E372" s="75">
        <v>1</v>
      </c>
      <c r="F372" s="75">
        <f>ROUND(T372*$T$10,2)</f>
        <v>26.35</v>
      </c>
      <c r="G372" s="75">
        <f>ROUND(F372*(1+$U$1),2)</f>
        <v>33.619999999999997</v>
      </c>
      <c r="H372" s="76">
        <f>ROUND(E372*G372,2)</f>
        <v>33.619999999999997</v>
      </c>
      <c r="I372" s="75"/>
      <c r="J372" s="75">
        <v>1</v>
      </c>
      <c r="K372" s="75">
        <f t="shared" si="96"/>
        <v>0</v>
      </c>
      <c r="L372" s="76">
        <f>ROUND(E372*F372,2)</f>
        <v>26.35</v>
      </c>
      <c r="M372" s="76">
        <f>I372*G372</f>
        <v>0</v>
      </c>
      <c r="N372" s="76">
        <f>J372*G372</f>
        <v>33.619999999999997</v>
      </c>
      <c r="O372" s="76">
        <f>H372-N372</f>
        <v>0</v>
      </c>
      <c r="P372" s="90">
        <f>N372/H372</f>
        <v>1</v>
      </c>
      <c r="Q372" s="51"/>
      <c r="T372" s="53">
        <v>26.35</v>
      </c>
    </row>
    <row r="373" spans="1:20" s="56" customFormat="1" ht="12" x14ac:dyDescent="0.2">
      <c r="A373" s="72"/>
      <c r="B373" s="70" t="s">
        <v>691</v>
      </c>
      <c r="C373" s="71" t="s">
        <v>692</v>
      </c>
      <c r="D373" s="72"/>
      <c r="E373" s="72"/>
      <c r="F373" s="75"/>
      <c r="G373" s="72"/>
      <c r="H373" s="72"/>
      <c r="I373" s="72"/>
      <c r="J373" s="75">
        <v>0</v>
      </c>
      <c r="K373" s="75">
        <f t="shared" si="96"/>
        <v>0</v>
      </c>
      <c r="L373" s="72"/>
      <c r="M373" s="72"/>
      <c r="N373" s="72"/>
      <c r="O373" s="72"/>
      <c r="P373" s="72"/>
      <c r="Q373" s="52"/>
      <c r="T373" s="52"/>
    </row>
    <row r="374" spans="1:20" s="56" customFormat="1" ht="24" x14ac:dyDescent="0.2">
      <c r="A374" s="73" t="s">
        <v>693</v>
      </c>
      <c r="B374" s="80">
        <v>43497</v>
      </c>
      <c r="C374" s="74" t="s">
        <v>694</v>
      </c>
      <c r="D374" s="73" t="s">
        <v>102</v>
      </c>
      <c r="E374" s="75">
        <v>9</v>
      </c>
      <c r="F374" s="75">
        <f>ROUND(T374*$T$10,2)</f>
        <v>226.16</v>
      </c>
      <c r="G374" s="75">
        <f>ROUND(F374*(1+$U$1),2)</f>
        <v>288.56</v>
      </c>
      <c r="H374" s="76">
        <f>ROUND(E374*G374,2)</f>
        <v>2597.04</v>
      </c>
      <c r="I374" s="75"/>
      <c r="J374" s="75">
        <v>9</v>
      </c>
      <c r="K374" s="75">
        <f t="shared" si="96"/>
        <v>0</v>
      </c>
      <c r="L374" s="76">
        <f>ROUND(E374*F374,2)</f>
        <v>2035.44</v>
      </c>
      <c r="M374" s="76">
        <f>I374*G374</f>
        <v>0</v>
      </c>
      <c r="N374" s="76">
        <f>J374*G374</f>
        <v>2597.04</v>
      </c>
      <c r="O374" s="76">
        <f>H374-N374</f>
        <v>0</v>
      </c>
      <c r="P374" s="90">
        <f>N374/H374</f>
        <v>1</v>
      </c>
      <c r="Q374" s="51"/>
      <c r="T374" s="53">
        <v>226.16</v>
      </c>
    </row>
    <row r="375" spans="1:20" s="56" customFormat="1" ht="12" x14ac:dyDescent="0.2">
      <c r="A375" s="94">
        <v>6171</v>
      </c>
      <c r="B375" s="80">
        <v>43498</v>
      </c>
      <c r="C375" s="74" t="s">
        <v>695</v>
      </c>
      <c r="D375" s="73" t="s">
        <v>102</v>
      </c>
      <c r="E375" s="75">
        <v>9</v>
      </c>
      <c r="F375" s="75">
        <f>ROUND(T375*$T$10,2)</f>
        <v>21.74</v>
      </c>
      <c r="G375" s="75">
        <f>ROUND(F375*(1+$U$1),2)</f>
        <v>27.74</v>
      </c>
      <c r="H375" s="76">
        <f>ROUND(E375*G375,2)</f>
        <v>249.66</v>
      </c>
      <c r="I375" s="75"/>
      <c r="J375" s="75">
        <v>9</v>
      </c>
      <c r="K375" s="75">
        <f t="shared" si="96"/>
        <v>0</v>
      </c>
      <c r="L375" s="76">
        <f>ROUND(E375*F375,2)</f>
        <v>195.66</v>
      </c>
      <c r="M375" s="76">
        <f>I375*G375</f>
        <v>0</v>
      </c>
      <c r="N375" s="76">
        <f>J375*G375</f>
        <v>249.66</v>
      </c>
      <c r="O375" s="76">
        <f>H375-N375</f>
        <v>0</v>
      </c>
      <c r="P375" s="90">
        <f>N375/H375</f>
        <v>1</v>
      </c>
      <c r="Q375" s="51"/>
      <c r="T375" s="53">
        <v>21.74</v>
      </c>
    </row>
    <row r="376" spans="1:20" s="56" customFormat="1" ht="12" x14ac:dyDescent="0.2">
      <c r="A376" s="73" t="s">
        <v>696</v>
      </c>
      <c r="B376" s="80">
        <v>43499</v>
      </c>
      <c r="C376" s="74" t="s">
        <v>697</v>
      </c>
      <c r="D376" s="73" t="s">
        <v>102</v>
      </c>
      <c r="E376" s="75">
        <v>5</v>
      </c>
      <c r="F376" s="75">
        <f>ROUND(T376*$T$10,2)</f>
        <v>165.35</v>
      </c>
      <c r="G376" s="75">
        <f>ROUND(F376*(1+$U$1),2)</f>
        <v>210.97</v>
      </c>
      <c r="H376" s="76">
        <f>ROUND(E376*G376,2)</f>
        <v>1054.8499999999999</v>
      </c>
      <c r="I376" s="75"/>
      <c r="J376" s="75">
        <v>5</v>
      </c>
      <c r="K376" s="75">
        <f t="shared" si="96"/>
        <v>0</v>
      </c>
      <c r="L376" s="76">
        <f>ROUND(E376*F376,2)</f>
        <v>826.75</v>
      </c>
      <c r="M376" s="76">
        <f>I376*G376</f>
        <v>0</v>
      </c>
      <c r="N376" s="76">
        <f>J376*G376</f>
        <v>1054.8499999999999</v>
      </c>
      <c r="O376" s="76">
        <f>H376-N376</f>
        <v>0</v>
      </c>
      <c r="P376" s="90">
        <f>N376/H376</f>
        <v>1</v>
      </c>
      <c r="Q376" s="51"/>
      <c r="T376" s="53">
        <v>165.35</v>
      </c>
    </row>
    <row r="377" spans="1:20" s="56" customFormat="1" ht="12" x14ac:dyDescent="0.2">
      <c r="A377" s="73" t="s">
        <v>698</v>
      </c>
      <c r="B377" s="80">
        <v>43500</v>
      </c>
      <c r="C377" s="74" t="s">
        <v>699</v>
      </c>
      <c r="D377" s="73" t="s">
        <v>102</v>
      </c>
      <c r="E377" s="75">
        <v>5</v>
      </c>
      <c r="F377" s="75">
        <f>ROUND(T377*$T$10,2)</f>
        <v>112.26</v>
      </c>
      <c r="G377" s="75">
        <f>ROUND(F377*(1+$U$1),2)</f>
        <v>143.22999999999999</v>
      </c>
      <c r="H377" s="76">
        <f>ROUND(E377*G377,2)</f>
        <v>716.15</v>
      </c>
      <c r="I377" s="75"/>
      <c r="J377" s="75">
        <v>5</v>
      </c>
      <c r="K377" s="75">
        <f t="shared" si="96"/>
        <v>0</v>
      </c>
      <c r="L377" s="76">
        <f>ROUND(E377*F377,2)</f>
        <v>561.29999999999995</v>
      </c>
      <c r="M377" s="76">
        <f>I377*G377</f>
        <v>0</v>
      </c>
      <c r="N377" s="76">
        <f>J377*G377</f>
        <v>716.15</v>
      </c>
      <c r="O377" s="76">
        <f>H377-N377</f>
        <v>0</v>
      </c>
      <c r="P377" s="90">
        <f>N377/H377</f>
        <v>1</v>
      </c>
      <c r="Q377" s="51"/>
      <c r="T377" s="53">
        <v>112.26</v>
      </c>
    </row>
    <row r="378" spans="1:20" s="56" customFormat="1" ht="12" x14ac:dyDescent="0.2">
      <c r="A378" s="73" t="s">
        <v>700</v>
      </c>
      <c r="B378" s="80">
        <v>43501</v>
      </c>
      <c r="C378" s="74" t="s">
        <v>701</v>
      </c>
      <c r="D378" s="73" t="s">
        <v>102</v>
      </c>
      <c r="E378" s="75">
        <v>2</v>
      </c>
      <c r="F378" s="75">
        <f>ROUND(T378*$T$10,2)</f>
        <v>171</v>
      </c>
      <c r="G378" s="75">
        <f>ROUND(F378*(1+$U$1),2)</f>
        <v>218.18</v>
      </c>
      <c r="H378" s="76">
        <f>ROUND(E378*G378,2)</f>
        <v>436.36</v>
      </c>
      <c r="I378" s="75"/>
      <c r="J378" s="75">
        <v>2</v>
      </c>
      <c r="K378" s="75">
        <f t="shared" si="96"/>
        <v>0</v>
      </c>
      <c r="L378" s="76">
        <f>ROUND(E378*F378,2)</f>
        <v>342</v>
      </c>
      <c r="M378" s="76">
        <f>I378*G378</f>
        <v>0</v>
      </c>
      <c r="N378" s="76">
        <f>J378*G378</f>
        <v>436.36</v>
      </c>
      <c r="O378" s="76">
        <f>H378-N378</f>
        <v>0</v>
      </c>
      <c r="P378" s="90">
        <f>N378/H378</f>
        <v>1</v>
      </c>
      <c r="Q378" s="51"/>
      <c r="T378" s="53">
        <v>171</v>
      </c>
    </row>
    <row r="379" spans="1:20" s="56" customFormat="1" ht="12" x14ac:dyDescent="0.2">
      <c r="A379" s="72"/>
      <c r="B379" s="70" t="s">
        <v>702</v>
      </c>
      <c r="C379" s="71" t="s">
        <v>703</v>
      </c>
      <c r="D379" s="72"/>
      <c r="E379" s="72"/>
      <c r="F379" s="75"/>
      <c r="G379" s="72"/>
      <c r="H379" s="72"/>
      <c r="I379" s="72"/>
      <c r="J379" s="75">
        <v>0</v>
      </c>
      <c r="K379" s="75"/>
      <c r="L379" s="72"/>
      <c r="M379" s="72"/>
      <c r="N379" s="72"/>
      <c r="O379" s="72"/>
      <c r="P379" s="72"/>
      <c r="Q379" s="52"/>
      <c r="T379" s="52"/>
    </row>
    <row r="380" spans="1:20" s="56" customFormat="1" ht="24" x14ac:dyDescent="0.2">
      <c r="A380" s="73" t="s">
        <v>704</v>
      </c>
      <c r="B380" s="80">
        <v>43525</v>
      </c>
      <c r="C380" s="74" t="s">
        <v>705</v>
      </c>
      <c r="D380" s="73" t="s">
        <v>102</v>
      </c>
      <c r="E380" s="75">
        <v>1</v>
      </c>
      <c r="F380" s="75">
        <f>ROUND(T380*$T$10,2)</f>
        <v>1880.53</v>
      </c>
      <c r="G380" s="75">
        <f>ROUND(F380*(1+$U$1),2)</f>
        <v>2399.37</v>
      </c>
      <c r="H380" s="76">
        <f>ROUND(E380*G380,2)</f>
        <v>2399.37</v>
      </c>
      <c r="I380" s="75"/>
      <c r="J380" s="75">
        <v>1</v>
      </c>
      <c r="K380" s="75">
        <f t="shared" si="96"/>
        <v>0</v>
      </c>
      <c r="L380" s="76">
        <f>ROUND(E380*F380,2)</f>
        <v>1880.53</v>
      </c>
      <c r="M380" s="76">
        <f>I380*G380</f>
        <v>0</v>
      </c>
      <c r="N380" s="76">
        <f>J380*G380</f>
        <v>2399.37</v>
      </c>
      <c r="O380" s="76">
        <f>H380-N380</f>
        <v>0</v>
      </c>
      <c r="P380" s="90">
        <f t="shared" ref="P380:P386" si="112">N380/H380</f>
        <v>1</v>
      </c>
      <c r="Q380" s="51"/>
      <c r="T380" s="51">
        <v>1880.53</v>
      </c>
    </row>
    <row r="381" spans="1:20" s="56" customFormat="1" ht="12" x14ac:dyDescent="0.2">
      <c r="A381" s="94">
        <v>6171</v>
      </c>
      <c r="B381" s="80">
        <v>43526</v>
      </c>
      <c r="C381" s="74" t="s">
        <v>706</v>
      </c>
      <c r="D381" s="73" t="s">
        <v>102</v>
      </c>
      <c r="E381" s="75">
        <v>1</v>
      </c>
      <c r="F381" s="75">
        <f>ROUND(T381*$T$10,2)</f>
        <v>21.74</v>
      </c>
      <c r="G381" s="75">
        <f>ROUND(F381*(1+$U$1),2)</f>
        <v>27.74</v>
      </c>
      <c r="H381" s="76">
        <f>ROUND(E381*G381,2)</f>
        <v>27.74</v>
      </c>
      <c r="I381" s="75"/>
      <c r="J381" s="75">
        <v>1</v>
      </c>
      <c r="K381" s="75">
        <f t="shared" si="96"/>
        <v>0</v>
      </c>
      <c r="L381" s="76">
        <f>ROUND(E381*F381,2)</f>
        <v>21.74</v>
      </c>
      <c r="M381" s="76">
        <f>I381*G381</f>
        <v>0</v>
      </c>
      <c r="N381" s="76">
        <f>J381*G381</f>
        <v>27.74</v>
      </c>
      <c r="O381" s="76">
        <f>H381-N381</f>
        <v>0</v>
      </c>
      <c r="P381" s="90">
        <f t="shared" si="112"/>
        <v>1</v>
      </c>
      <c r="Q381" s="51"/>
      <c r="T381" s="53">
        <v>21.74</v>
      </c>
    </row>
    <row r="382" spans="1:20" s="56" customFormat="1" ht="12" x14ac:dyDescent="0.2">
      <c r="A382" s="72"/>
      <c r="B382" s="70" t="s">
        <v>707</v>
      </c>
      <c r="C382" s="71" t="s">
        <v>708</v>
      </c>
      <c r="D382" s="72"/>
      <c r="E382" s="72"/>
      <c r="F382" s="75"/>
      <c r="G382" s="72"/>
      <c r="H382" s="72"/>
      <c r="I382" s="72"/>
      <c r="J382" s="75">
        <v>0</v>
      </c>
      <c r="K382" s="75">
        <f t="shared" si="96"/>
        <v>0</v>
      </c>
      <c r="L382" s="72"/>
      <c r="M382" s="72"/>
      <c r="N382" s="72"/>
      <c r="O382" s="72"/>
      <c r="P382" s="90"/>
      <c r="Q382" s="52"/>
      <c r="T382" s="52"/>
    </row>
    <row r="383" spans="1:20" s="56" customFormat="1" ht="24" x14ac:dyDescent="0.2">
      <c r="A383" s="94">
        <v>1332</v>
      </c>
      <c r="B383" s="80">
        <v>43556</v>
      </c>
      <c r="C383" s="74" t="s">
        <v>709</v>
      </c>
      <c r="D383" s="73" t="s">
        <v>102</v>
      </c>
      <c r="E383" s="75">
        <v>5</v>
      </c>
      <c r="F383" s="75">
        <f>ROUND(T383*$T$10,2)</f>
        <v>7.59</v>
      </c>
      <c r="G383" s="75">
        <f>ROUND(F383*(1+$U$1),2)</f>
        <v>9.68</v>
      </c>
      <c r="H383" s="76">
        <f>ROUND(E383*G383,2)</f>
        <v>48.4</v>
      </c>
      <c r="I383" s="75"/>
      <c r="J383" s="75">
        <v>5</v>
      </c>
      <c r="K383" s="75">
        <f t="shared" si="96"/>
        <v>0</v>
      </c>
      <c r="L383" s="76">
        <f>ROUND(E383*F383,2)</f>
        <v>37.950000000000003</v>
      </c>
      <c r="M383" s="76">
        <f>I383*G383</f>
        <v>0</v>
      </c>
      <c r="N383" s="76">
        <f>J383*G383</f>
        <v>48.4</v>
      </c>
      <c r="O383" s="76">
        <f>H383-N383</f>
        <v>0</v>
      </c>
      <c r="P383" s="90">
        <f t="shared" si="112"/>
        <v>1</v>
      </c>
      <c r="Q383" s="51"/>
      <c r="T383" s="53">
        <v>7.59</v>
      </c>
    </row>
    <row r="384" spans="1:20" s="56" customFormat="1" ht="12" x14ac:dyDescent="0.2">
      <c r="A384" s="72"/>
      <c r="B384" s="70" t="s">
        <v>710</v>
      </c>
      <c r="C384" s="71" t="s">
        <v>711</v>
      </c>
      <c r="D384" s="72"/>
      <c r="E384" s="72"/>
      <c r="F384" s="75"/>
      <c r="G384" s="72"/>
      <c r="H384" s="72"/>
      <c r="I384" s="72"/>
      <c r="J384" s="75">
        <v>0</v>
      </c>
      <c r="K384" s="75">
        <f t="shared" ref="K384:K447" si="113">E384-J384</f>
        <v>0</v>
      </c>
      <c r="L384" s="72"/>
      <c r="M384" s="72"/>
      <c r="N384" s="72"/>
      <c r="O384" s="72"/>
      <c r="P384" s="72"/>
      <c r="Q384" s="52"/>
      <c r="T384" s="52"/>
    </row>
    <row r="385" spans="1:20" s="56" customFormat="1" ht="12" x14ac:dyDescent="0.2">
      <c r="A385" s="73" t="s">
        <v>712</v>
      </c>
      <c r="B385" s="80">
        <v>43586</v>
      </c>
      <c r="C385" s="74" t="s">
        <v>713</v>
      </c>
      <c r="D385" s="73" t="s">
        <v>81</v>
      </c>
      <c r="E385" s="75">
        <v>8</v>
      </c>
      <c r="F385" s="75">
        <f>ROUND(T385*$T$10,2)</f>
        <v>267.89</v>
      </c>
      <c r="G385" s="75">
        <f>ROUND(F385*(1+$U$1),2)</f>
        <v>341.8</v>
      </c>
      <c r="H385" s="76">
        <f>ROUND(E385*G385,2)</f>
        <v>2734.4</v>
      </c>
      <c r="I385" s="75">
        <v>8</v>
      </c>
      <c r="J385" s="75">
        <f>I385</f>
        <v>8</v>
      </c>
      <c r="K385" s="75">
        <f t="shared" si="113"/>
        <v>0</v>
      </c>
      <c r="L385" s="76">
        <f>ROUND(E385*F385,2)</f>
        <v>2143.12</v>
      </c>
      <c r="M385" s="76">
        <f>I385*G385</f>
        <v>2734.4</v>
      </c>
      <c r="N385" s="76">
        <f>J385*G385</f>
        <v>2734.4</v>
      </c>
      <c r="O385" s="76">
        <f>H385-N385</f>
        <v>0</v>
      </c>
      <c r="P385" s="90">
        <f t="shared" si="112"/>
        <v>1</v>
      </c>
      <c r="Q385" s="51"/>
      <c r="T385" s="53">
        <v>267.89</v>
      </c>
    </row>
    <row r="386" spans="1:20" s="56" customFormat="1" ht="12" x14ac:dyDescent="0.2">
      <c r="A386" s="73" t="s">
        <v>714</v>
      </c>
      <c r="B386" s="80">
        <v>43587</v>
      </c>
      <c r="C386" s="74" t="s">
        <v>715</v>
      </c>
      <c r="D386" s="73" t="s">
        <v>81</v>
      </c>
      <c r="E386" s="75">
        <v>2</v>
      </c>
      <c r="F386" s="75">
        <f>ROUND(T386*$T$10,2)</f>
        <v>57.59</v>
      </c>
      <c r="G386" s="75">
        <f>ROUND(F386*(1+$U$1),2)</f>
        <v>73.48</v>
      </c>
      <c r="H386" s="76">
        <f>ROUND(E386*G386,2)</f>
        <v>146.96</v>
      </c>
      <c r="I386" s="75">
        <v>2</v>
      </c>
      <c r="J386" s="75">
        <f>I386</f>
        <v>2</v>
      </c>
      <c r="K386" s="75">
        <f t="shared" si="113"/>
        <v>0</v>
      </c>
      <c r="L386" s="76">
        <f>ROUND(E386*F386,2)</f>
        <v>115.18</v>
      </c>
      <c r="M386" s="76">
        <f>I386*G386</f>
        <v>146.96</v>
      </c>
      <c r="N386" s="76">
        <f>J386*G386</f>
        <v>146.96</v>
      </c>
      <c r="O386" s="76">
        <f>H386-N386</f>
        <v>0</v>
      </c>
      <c r="P386" s="90">
        <f t="shared" si="112"/>
        <v>1</v>
      </c>
      <c r="Q386" s="51"/>
      <c r="T386" s="53">
        <v>57.59</v>
      </c>
    </row>
    <row r="387" spans="1:20" s="56" customFormat="1" ht="12" x14ac:dyDescent="0.2">
      <c r="A387" s="72"/>
      <c r="B387" s="71"/>
      <c r="C387" s="71"/>
      <c r="D387" s="71"/>
      <c r="E387" s="71"/>
      <c r="F387" s="75"/>
      <c r="G387" s="77" t="s">
        <v>716</v>
      </c>
      <c r="H387" s="78">
        <f>SUM(H371:H386)</f>
        <v>11076.939999999997</v>
      </c>
      <c r="I387" s="71"/>
      <c r="J387" s="75">
        <v>0</v>
      </c>
      <c r="K387" s="75">
        <f t="shared" si="113"/>
        <v>0</v>
      </c>
      <c r="L387" s="78">
        <f>SUM(L371:L386)</f>
        <v>8681.68</v>
      </c>
      <c r="M387" s="78">
        <f>SUM(M371:M386)</f>
        <v>2881.36</v>
      </c>
      <c r="N387" s="78">
        <f>SUM(N371:N386)</f>
        <v>11076.939999999997</v>
      </c>
      <c r="O387" s="78">
        <f>SUM(O371:O386)</f>
        <v>0</v>
      </c>
      <c r="P387" s="91">
        <f>N387/H387</f>
        <v>1</v>
      </c>
      <c r="Q387" s="60"/>
      <c r="T387" s="59"/>
    </row>
    <row r="388" spans="1:20" s="56" customFormat="1" ht="12" x14ac:dyDescent="0.2">
      <c r="A388" s="72"/>
      <c r="B388" s="70" t="s">
        <v>717</v>
      </c>
      <c r="C388" s="71" t="s">
        <v>718</v>
      </c>
      <c r="D388" s="72"/>
      <c r="E388" s="72"/>
      <c r="F388" s="75"/>
      <c r="G388" s="72"/>
      <c r="H388" s="72"/>
      <c r="I388" s="72"/>
      <c r="J388" s="75">
        <v>0</v>
      </c>
      <c r="K388" s="75">
        <f t="shared" si="113"/>
        <v>0</v>
      </c>
      <c r="L388" s="72"/>
      <c r="M388" s="72"/>
      <c r="N388" s="72"/>
      <c r="O388" s="72"/>
      <c r="P388" s="72"/>
      <c r="Q388" s="52"/>
      <c r="T388" s="52"/>
    </row>
    <row r="389" spans="1:20" s="56" customFormat="1" ht="12" x14ac:dyDescent="0.2">
      <c r="A389" s="72"/>
      <c r="B389" s="70" t="s">
        <v>719</v>
      </c>
      <c r="C389" s="71" t="s">
        <v>626</v>
      </c>
      <c r="D389" s="72"/>
      <c r="E389" s="72"/>
      <c r="F389" s="75"/>
      <c r="G389" s="72"/>
      <c r="H389" s="72"/>
      <c r="I389" s="72"/>
      <c r="J389" s="75">
        <v>0</v>
      </c>
      <c r="K389" s="75">
        <f t="shared" si="113"/>
        <v>0</v>
      </c>
      <c r="L389" s="72"/>
      <c r="M389" s="72"/>
      <c r="N389" s="72"/>
      <c r="O389" s="72"/>
      <c r="P389" s="72"/>
      <c r="Q389" s="52"/>
      <c r="T389" s="52"/>
    </row>
    <row r="390" spans="1:20" s="56" customFormat="1" ht="12" x14ac:dyDescent="0.2">
      <c r="A390" s="94">
        <v>89580</v>
      </c>
      <c r="B390" s="80">
        <v>43831</v>
      </c>
      <c r="C390" s="74" t="s">
        <v>720</v>
      </c>
      <c r="D390" s="73" t="s">
        <v>81</v>
      </c>
      <c r="E390" s="75">
        <v>204</v>
      </c>
      <c r="F390" s="75">
        <f>ROUND(T390*$T$10,2)</f>
        <v>38.24</v>
      </c>
      <c r="G390" s="75">
        <f>ROUND(F390*(1+$U$1),2)</f>
        <v>48.79</v>
      </c>
      <c r="H390" s="76">
        <f>ROUND(E390*G390,2)</f>
        <v>9953.16</v>
      </c>
      <c r="I390" s="75"/>
      <c r="J390" s="75">
        <v>204</v>
      </c>
      <c r="K390" s="75">
        <f t="shared" si="113"/>
        <v>0</v>
      </c>
      <c r="L390" s="76">
        <f>ROUND(E390*F390,2)</f>
        <v>7800.96</v>
      </c>
      <c r="M390" s="76">
        <f>I390*G390</f>
        <v>0</v>
      </c>
      <c r="N390" s="76">
        <f>J390*G390</f>
        <v>9953.16</v>
      </c>
      <c r="O390" s="76">
        <f>H390-N390</f>
        <v>0</v>
      </c>
      <c r="P390" s="90">
        <f t="shared" ref="P390:P395" si="114">N390/H390</f>
        <v>1</v>
      </c>
      <c r="Q390" s="51"/>
      <c r="T390" s="53">
        <v>38.24</v>
      </c>
    </row>
    <row r="391" spans="1:20" s="56" customFormat="1" ht="12" x14ac:dyDescent="0.2">
      <c r="A391" s="73" t="s">
        <v>721</v>
      </c>
      <c r="B391" s="80">
        <v>43832</v>
      </c>
      <c r="C391" s="74" t="s">
        <v>722</v>
      </c>
      <c r="D391" s="73" t="s">
        <v>81</v>
      </c>
      <c r="E391" s="75">
        <v>108</v>
      </c>
      <c r="F391" s="75">
        <f>ROUND(T391*$T$10,2)</f>
        <v>31.84</v>
      </c>
      <c r="G391" s="75">
        <f>ROUND(F391*(1+$U$1),2)</f>
        <v>40.619999999999997</v>
      </c>
      <c r="H391" s="76">
        <f>ROUND(E391*G391,2)</f>
        <v>4386.96</v>
      </c>
      <c r="I391" s="75"/>
      <c r="J391" s="75">
        <v>108</v>
      </c>
      <c r="K391" s="75">
        <f t="shared" si="113"/>
        <v>0</v>
      </c>
      <c r="L391" s="76">
        <f>ROUND(E391*F391,2)</f>
        <v>3438.72</v>
      </c>
      <c r="M391" s="76">
        <f>I391*G391</f>
        <v>0</v>
      </c>
      <c r="N391" s="76">
        <f>J391*G391</f>
        <v>4386.96</v>
      </c>
      <c r="O391" s="76">
        <f>H391-N391</f>
        <v>0</v>
      </c>
      <c r="P391" s="90">
        <f t="shared" si="114"/>
        <v>1</v>
      </c>
      <c r="Q391" s="51"/>
      <c r="T391" s="53">
        <v>31.84</v>
      </c>
    </row>
    <row r="392" spans="1:20" s="56" customFormat="1" ht="12" x14ac:dyDescent="0.2">
      <c r="A392" s="94">
        <v>89511</v>
      </c>
      <c r="B392" s="80">
        <v>43833</v>
      </c>
      <c r="C392" s="74" t="s">
        <v>723</v>
      </c>
      <c r="D392" s="73" t="s">
        <v>81</v>
      </c>
      <c r="E392" s="75">
        <v>120</v>
      </c>
      <c r="F392" s="75">
        <f>ROUND(T392*$T$10,2)</f>
        <v>24.3</v>
      </c>
      <c r="G392" s="75">
        <f>ROUND(F392*(1+$U$1),2)</f>
        <v>31</v>
      </c>
      <c r="H392" s="76">
        <f>ROUND(E392*G392,2)</f>
        <v>3720</v>
      </c>
      <c r="I392" s="75"/>
      <c r="J392" s="75">
        <v>120</v>
      </c>
      <c r="K392" s="75">
        <f t="shared" si="113"/>
        <v>0</v>
      </c>
      <c r="L392" s="76">
        <f>ROUND(E392*F392,2)</f>
        <v>2916</v>
      </c>
      <c r="M392" s="76">
        <f>I392*G392</f>
        <v>0</v>
      </c>
      <c r="N392" s="76">
        <f>J392*G392</f>
        <v>3720</v>
      </c>
      <c r="O392" s="76">
        <f>H392-N392</f>
        <v>0</v>
      </c>
      <c r="P392" s="90">
        <f t="shared" si="114"/>
        <v>1</v>
      </c>
      <c r="Q392" s="51"/>
      <c r="T392" s="53">
        <v>24.3</v>
      </c>
    </row>
    <row r="393" spans="1:20" s="56" customFormat="1" ht="12" x14ac:dyDescent="0.2">
      <c r="A393" s="94">
        <v>89509</v>
      </c>
      <c r="B393" s="80">
        <v>43834</v>
      </c>
      <c r="C393" s="74" t="s">
        <v>724</v>
      </c>
      <c r="D393" s="73" t="s">
        <v>81</v>
      </c>
      <c r="E393" s="75">
        <v>210</v>
      </c>
      <c r="F393" s="75">
        <f>ROUND(T393*$T$10,2)</f>
        <v>16.3</v>
      </c>
      <c r="G393" s="75">
        <f>ROUND(F393*(1+$U$1),2)</f>
        <v>20.8</v>
      </c>
      <c r="H393" s="76">
        <f>ROUND(E393*G393,2)</f>
        <v>4368</v>
      </c>
      <c r="I393" s="75"/>
      <c r="J393" s="75">
        <v>210</v>
      </c>
      <c r="K393" s="75">
        <f t="shared" si="113"/>
        <v>0</v>
      </c>
      <c r="L393" s="76">
        <f>ROUND(E393*F393,2)</f>
        <v>3423</v>
      </c>
      <c r="M393" s="76">
        <f>I393*G393</f>
        <v>0</v>
      </c>
      <c r="N393" s="76">
        <f>J393*G393</f>
        <v>4368</v>
      </c>
      <c r="O393" s="76">
        <f>H393-N393</f>
        <v>0</v>
      </c>
      <c r="P393" s="90">
        <f t="shared" si="114"/>
        <v>1</v>
      </c>
      <c r="Q393" s="51"/>
      <c r="T393" s="53">
        <v>16.3</v>
      </c>
    </row>
    <row r="394" spans="1:20" s="56" customFormat="1" ht="12" x14ac:dyDescent="0.2">
      <c r="A394" s="94">
        <v>89508</v>
      </c>
      <c r="B394" s="80">
        <v>43835</v>
      </c>
      <c r="C394" s="74" t="s">
        <v>725</v>
      </c>
      <c r="D394" s="73" t="s">
        <v>81</v>
      </c>
      <c r="E394" s="75">
        <v>102</v>
      </c>
      <c r="F394" s="75">
        <f>ROUND(T394*$T$10,2)</f>
        <v>11.22</v>
      </c>
      <c r="G394" s="75">
        <f>ROUND(F394*(1+$U$1),2)</f>
        <v>14.32</v>
      </c>
      <c r="H394" s="76">
        <f>ROUND(E394*G394,2)</f>
        <v>1460.64</v>
      </c>
      <c r="I394" s="75"/>
      <c r="J394" s="75">
        <v>102</v>
      </c>
      <c r="K394" s="75">
        <f t="shared" si="113"/>
        <v>0</v>
      </c>
      <c r="L394" s="76">
        <f>ROUND(E394*F394,2)</f>
        <v>1144.44</v>
      </c>
      <c r="M394" s="76">
        <f>I394*G394</f>
        <v>0</v>
      </c>
      <c r="N394" s="76">
        <f>J394*G394</f>
        <v>1460.64</v>
      </c>
      <c r="O394" s="76">
        <f>H394-N394</f>
        <v>0</v>
      </c>
      <c r="P394" s="90">
        <f t="shared" si="114"/>
        <v>1</v>
      </c>
      <c r="Q394" s="51"/>
      <c r="T394" s="53">
        <v>11.22</v>
      </c>
    </row>
    <row r="395" spans="1:20" s="56" customFormat="1" ht="22.5" customHeight="1" x14ac:dyDescent="0.2">
      <c r="A395" s="73"/>
      <c r="B395" s="73"/>
      <c r="C395" s="74"/>
      <c r="D395" s="73"/>
      <c r="E395" s="75"/>
      <c r="F395" s="75"/>
      <c r="G395" s="77" t="s">
        <v>1379</v>
      </c>
      <c r="H395" s="78">
        <f>SUM(H390:H394)</f>
        <v>23888.76</v>
      </c>
      <c r="I395" s="75"/>
      <c r="J395" s="75">
        <v>0</v>
      </c>
      <c r="K395" s="75">
        <f t="shared" si="113"/>
        <v>0</v>
      </c>
      <c r="L395" s="76"/>
      <c r="M395" s="78">
        <f>SUM(M390:M394)</f>
        <v>0</v>
      </c>
      <c r="N395" s="78">
        <f>SUM(N390:N394)</f>
        <v>23888.76</v>
      </c>
      <c r="O395" s="78">
        <f>SUM(O390:O394)</f>
        <v>0</v>
      </c>
      <c r="P395" s="91">
        <f t="shared" si="114"/>
        <v>1</v>
      </c>
      <c r="Q395" s="51"/>
      <c r="T395" s="53"/>
    </row>
    <row r="396" spans="1:20" s="56" customFormat="1" ht="12" x14ac:dyDescent="0.2">
      <c r="A396" s="72"/>
      <c r="B396" s="70" t="s">
        <v>726</v>
      </c>
      <c r="C396" s="71" t="s">
        <v>727</v>
      </c>
      <c r="D396" s="72"/>
      <c r="E396" s="72"/>
      <c r="F396" s="75"/>
      <c r="G396" s="72"/>
      <c r="H396" s="72"/>
      <c r="I396" s="72"/>
      <c r="J396" s="75">
        <v>0</v>
      </c>
      <c r="K396" s="75">
        <f t="shared" si="113"/>
        <v>0</v>
      </c>
      <c r="L396" s="72"/>
      <c r="M396" s="72"/>
      <c r="N396" s="72"/>
      <c r="O396" s="72"/>
      <c r="P396" s="72"/>
      <c r="Q396" s="52"/>
      <c r="T396" s="52"/>
    </row>
    <row r="397" spans="1:20" s="56" customFormat="1" ht="24" x14ac:dyDescent="0.2">
      <c r="A397" s="73" t="s">
        <v>728</v>
      </c>
      <c r="B397" s="80">
        <v>43862</v>
      </c>
      <c r="C397" s="74" t="s">
        <v>729</v>
      </c>
      <c r="D397" s="73" t="s">
        <v>102</v>
      </c>
      <c r="E397" s="75">
        <v>2</v>
      </c>
      <c r="F397" s="75">
        <f>ROUND(T397*$T$10,2)</f>
        <v>11.18</v>
      </c>
      <c r="G397" s="75">
        <f>ROUND(F397*(1+$U$1),2)</f>
        <v>14.26</v>
      </c>
      <c r="H397" s="76">
        <f>ROUND(E397*G397,2)</f>
        <v>28.52</v>
      </c>
      <c r="I397" s="75"/>
      <c r="J397" s="75">
        <v>2</v>
      </c>
      <c r="K397" s="75">
        <f t="shared" si="113"/>
        <v>0</v>
      </c>
      <c r="L397" s="76">
        <f>ROUND(E397*F397,2)</f>
        <v>22.36</v>
      </c>
      <c r="M397" s="76">
        <f>I397*G397</f>
        <v>0</v>
      </c>
      <c r="N397" s="76">
        <f>J397*G397</f>
        <v>28.52</v>
      </c>
      <c r="O397" s="76">
        <f>H397-N397</f>
        <v>0</v>
      </c>
      <c r="P397" s="90">
        <f>N397/H397</f>
        <v>1</v>
      </c>
      <c r="Q397" s="51"/>
      <c r="T397" s="53">
        <v>11.18</v>
      </c>
    </row>
    <row r="398" spans="1:20" s="56" customFormat="1" ht="22.5" customHeight="1" x14ac:dyDescent="0.2">
      <c r="A398" s="73"/>
      <c r="B398" s="73"/>
      <c r="C398" s="74"/>
      <c r="D398" s="73"/>
      <c r="E398" s="75"/>
      <c r="F398" s="75"/>
      <c r="G398" s="77" t="s">
        <v>1380</v>
      </c>
      <c r="H398" s="78">
        <f>SUM(H397)</f>
        <v>28.52</v>
      </c>
      <c r="I398" s="75"/>
      <c r="J398" s="75">
        <v>0</v>
      </c>
      <c r="K398" s="75">
        <f t="shared" si="113"/>
        <v>0</v>
      </c>
      <c r="L398" s="76"/>
      <c r="M398" s="78">
        <f>SUM(M397)</f>
        <v>0</v>
      </c>
      <c r="N398" s="78">
        <f>SUM(N397)</f>
        <v>28.52</v>
      </c>
      <c r="O398" s="78">
        <f>SUM(O397)</f>
        <v>0</v>
      </c>
      <c r="P398" s="91">
        <f>N398/H398</f>
        <v>1</v>
      </c>
      <c r="Q398" s="51"/>
      <c r="T398" s="53"/>
    </row>
    <row r="399" spans="1:20" s="56" customFormat="1" ht="12" x14ac:dyDescent="0.2">
      <c r="A399" s="72"/>
      <c r="B399" s="70" t="s">
        <v>730</v>
      </c>
      <c r="C399" s="71" t="s">
        <v>635</v>
      </c>
      <c r="D399" s="72"/>
      <c r="E399" s="72"/>
      <c r="F399" s="75"/>
      <c r="G399" s="72"/>
      <c r="H399" s="75">
        <v>0</v>
      </c>
      <c r="I399" s="72"/>
      <c r="J399" s="75">
        <v>0</v>
      </c>
      <c r="K399" s="75">
        <f t="shared" si="113"/>
        <v>0</v>
      </c>
      <c r="L399" s="72"/>
      <c r="M399" s="75"/>
      <c r="N399" s="75"/>
      <c r="O399" s="75"/>
      <c r="P399" s="75"/>
      <c r="Q399" s="53"/>
      <c r="T399" s="52"/>
    </row>
    <row r="400" spans="1:20" s="56" customFormat="1" ht="12" x14ac:dyDescent="0.2">
      <c r="A400" s="94">
        <v>20151</v>
      </c>
      <c r="B400" s="80">
        <v>43891</v>
      </c>
      <c r="C400" s="74" t="s">
        <v>731</v>
      </c>
      <c r="D400" s="73" t="s">
        <v>102</v>
      </c>
      <c r="E400" s="75">
        <v>11</v>
      </c>
      <c r="F400" s="75">
        <f t="shared" ref="F400:F407" si="115">ROUND(T400*$T$10,2)</f>
        <v>15.18</v>
      </c>
      <c r="G400" s="75">
        <f t="shared" ref="G400:G407" si="116">ROUND(F400*(1+$U$1),2)</f>
        <v>19.37</v>
      </c>
      <c r="H400" s="76">
        <f t="shared" ref="H400:H407" si="117">ROUND(E400*G400,2)</f>
        <v>213.07</v>
      </c>
      <c r="I400" s="75"/>
      <c r="J400" s="75">
        <v>11</v>
      </c>
      <c r="K400" s="75">
        <f t="shared" si="113"/>
        <v>0</v>
      </c>
      <c r="L400" s="76">
        <f t="shared" ref="L400:L407" si="118">ROUND(E400*F400,2)</f>
        <v>166.98</v>
      </c>
      <c r="M400" s="76">
        <f t="shared" ref="M400:M407" si="119">I400*G400</f>
        <v>0</v>
      </c>
      <c r="N400" s="76">
        <f t="shared" ref="N400:N407" si="120">J400*G400</f>
        <v>213.07000000000002</v>
      </c>
      <c r="O400" s="76">
        <f t="shared" ref="O400:O407" si="121">H400-N400</f>
        <v>0</v>
      </c>
      <c r="P400" s="90">
        <f t="shared" ref="P400:P407" si="122">N400/H400</f>
        <v>1.0000000000000002</v>
      </c>
      <c r="Q400" s="51"/>
      <c r="T400" s="53">
        <v>15.18</v>
      </c>
    </row>
    <row r="401" spans="1:20" s="56" customFormat="1" ht="12" x14ac:dyDescent="0.2">
      <c r="A401" s="94">
        <v>20150</v>
      </c>
      <c r="B401" s="80">
        <v>43892</v>
      </c>
      <c r="C401" s="74" t="s">
        <v>732</v>
      </c>
      <c r="D401" s="73" t="s">
        <v>102</v>
      </c>
      <c r="E401" s="75">
        <v>18</v>
      </c>
      <c r="F401" s="75">
        <f t="shared" si="115"/>
        <v>11.04</v>
      </c>
      <c r="G401" s="75">
        <f t="shared" si="116"/>
        <v>14.09</v>
      </c>
      <c r="H401" s="76">
        <f t="shared" si="117"/>
        <v>253.62</v>
      </c>
      <c r="I401" s="75"/>
      <c r="J401" s="75">
        <v>18</v>
      </c>
      <c r="K401" s="75">
        <f t="shared" si="113"/>
        <v>0</v>
      </c>
      <c r="L401" s="76">
        <f t="shared" si="118"/>
        <v>198.72</v>
      </c>
      <c r="M401" s="76">
        <f t="shared" si="119"/>
        <v>0</v>
      </c>
      <c r="N401" s="76">
        <f t="shared" si="120"/>
        <v>253.62</v>
      </c>
      <c r="O401" s="76">
        <f t="shared" si="121"/>
        <v>0</v>
      </c>
      <c r="P401" s="90">
        <f t="shared" si="122"/>
        <v>1</v>
      </c>
      <c r="Q401" s="51"/>
      <c r="T401" s="53">
        <v>11.04</v>
      </c>
    </row>
    <row r="402" spans="1:20" s="56" customFormat="1" ht="12" x14ac:dyDescent="0.2">
      <c r="A402" s="94">
        <v>20149</v>
      </c>
      <c r="B402" s="80">
        <v>43893</v>
      </c>
      <c r="C402" s="74" t="s">
        <v>733</v>
      </c>
      <c r="D402" s="73" t="s">
        <v>102</v>
      </c>
      <c r="E402" s="75">
        <v>13</v>
      </c>
      <c r="F402" s="75">
        <f t="shared" si="115"/>
        <v>4.2</v>
      </c>
      <c r="G402" s="75">
        <f t="shared" si="116"/>
        <v>5.36</v>
      </c>
      <c r="H402" s="76">
        <f t="shared" si="117"/>
        <v>69.680000000000007</v>
      </c>
      <c r="I402" s="75"/>
      <c r="J402" s="75">
        <v>13</v>
      </c>
      <c r="K402" s="75">
        <f t="shared" si="113"/>
        <v>0</v>
      </c>
      <c r="L402" s="76">
        <f t="shared" si="118"/>
        <v>54.6</v>
      </c>
      <c r="M402" s="76">
        <f t="shared" si="119"/>
        <v>0</v>
      </c>
      <c r="N402" s="76">
        <f t="shared" si="120"/>
        <v>69.680000000000007</v>
      </c>
      <c r="O402" s="76">
        <f t="shared" si="121"/>
        <v>0</v>
      </c>
      <c r="P402" s="90">
        <f t="shared" si="122"/>
        <v>1</v>
      </c>
      <c r="Q402" s="51"/>
      <c r="T402" s="53">
        <v>4.2</v>
      </c>
    </row>
    <row r="403" spans="1:20" s="56" customFormat="1" ht="12" x14ac:dyDescent="0.2">
      <c r="A403" s="94">
        <v>20148</v>
      </c>
      <c r="B403" s="80">
        <v>43894</v>
      </c>
      <c r="C403" s="74" t="s">
        <v>734</v>
      </c>
      <c r="D403" s="73" t="s">
        <v>102</v>
      </c>
      <c r="E403" s="75">
        <v>33</v>
      </c>
      <c r="F403" s="75">
        <f t="shared" si="115"/>
        <v>2.79</v>
      </c>
      <c r="G403" s="75">
        <f t="shared" si="116"/>
        <v>3.56</v>
      </c>
      <c r="H403" s="76">
        <f t="shared" si="117"/>
        <v>117.48</v>
      </c>
      <c r="I403" s="75"/>
      <c r="J403" s="75">
        <v>33</v>
      </c>
      <c r="K403" s="75">
        <f t="shared" si="113"/>
        <v>0</v>
      </c>
      <c r="L403" s="76">
        <f t="shared" si="118"/>
        <v>92.07</v>
      </c>
      <c r="M403" s="76">
        <f t="shared" si="119"/>
        <v>0</v>
      </c>
      <c r="N403" s="76">
        <f t="shared" si="120"/>
        <v>117.48</v>
      </c>
      <c r="O403" s="76">
        <f t="shared" si="121"/>
        <v>0</v>
      </c>
      <c r="P403" s="90">
        <f t="shared" si="122"/>
        <v>1</v>
      </c>
      <c r="Q403" s="51"/>
      <c r="T403" s="53">
        <v>2.79</v>
      </c>
    </row>
    <row r="404" spans="1:20" s="56" customFormat="1" ht="12" x14ac:dyDescent="0.2">
      <c r="A404" s="94">
        <v>20157</v>
      </c>
      <c r="B404" s="80">
        <v>43895</v>
      </c>
      <c r="C404" s="74" t="s">
        <v>735</v>
      </c>
      <c r="D404" s="73" t="s">
        <v>102</v>
      </c>
      <c r="E404" s="75">
        <v>23</v>
      </c>
      <c r="F404" s="75">
        <f t="shared" si="115"/>
        <v>18.87</v>
      </c>
      <c r="G404" s="75">
        <f t="shared" si="116"/>
        <v>24.08</v>
      </c>
      <c r="H404" s="76">
        <f t="shared" si="117"/>
        <v>553.84</v>
      </c>
      <c r="I404" s="75"/>
      <c r="J404" s="75">
        <v>23</v>
      </c>
      <c r="K404" s="75">
        <f t="shared" si="113"/>
        <v>0</v>
      </c>
      <c r="L404" s="76">
        <f t="shared" si="118"/>
        <v>434.01</v>
      </c>
      <c r="M404" s="76">
        <f t="shared" si="119"/>
        <v>0</v>
      </c>
      <c r="N404" s="76">
        <f t="shared" si="120"/>
        <v>553.83999999999992</v>
      </c>
      <c r="O404" s="76">
        <f t="shared" si="121"/>
        <v>0</v>
      </c>
      <c r="P404" s="90">
        <f t="shared" si="122"/>
        <v>0.99999999999999978</v>
      </c>
      <c r="Q404" s="51"/>
      <c r="T404" s="53">
        <v>18.87</v>
      </c>
    </row>
    <row r="405" spans="1:20" s="56" customFormat="1" ht="12" x14ac:dyDescent="0.2">
      <c r="A405" s="94">
        <v>20156</v>
      </c>
      <c r="B405" s="80">
        <v>43896</v>
      </c>
      <c r="C405" s="74" t="s">
        <v>736</v>
      </c>
      <c r="D405" s="73" t="s">
        <v>102</v>
      </c>
      <c r="E405" s="75">
        <v>7</v>
      </c>
      <c r="F405" s="75">
        <f t="shared" si="115"/>
        <v>11.44</v>
      </c>
      <c r="G405" s="75">
        <f t="shared" si="116"/>
        <v>14.6</v>
      </c>
      <c r="H405" s="76">
        <f t="shared" si="117"/>
        <v>102.2</v>
      </c>
      <c r="I405" s="75"/>
      <c r="J405" s="75">
        <v>7</v>
      </c>
      <c r="K405" s="75">
        <f t="shared" si="113"/>
        <v>0</v>
      </c>
      <c r="L405" s="76">
        <f t="shared" si="118"/>
        <v>80.08</v>
      </c>
      <c r="M405" s="76">
        <f t="shared" si="119"/>
        <v>0</v>
      </c>
      <c r="N405" s="76">
        <f t="shared" si="120"/>
        <v>102.2</v>
      </c>
      <c r="O405" s="76">
        <f t="shared" si="121"/>
        <v>0</v>
      </c>
      <c r="P405" s="90">
        <f t="shared" si="122"/>
        <v>1</v>
      </c>
      <c r="Q405" s="51"/>
      <c r="T405" s="53">
        <v>11.44</v>
      </c>
    </row>
    <row r="406" spans="1:20" s="56" customFormat="1" ht="12" x14ac:dyDescent="0.2">
      <c r="A406" s="94">
        <v>20155</v>
      </c>
      <c r="B406" s="80">
        <v>43897</v>
      </c>
      <c r="C406" s="74" t="s">
        <v>737</v>
      </c>
      <c r="D406" s="73" t="s">
        <v>102</v>
      </c>
      <c r="E406" s="75">
        <v>80</v>
      </c>
      <c r="F406" s="75">
        <f t="shared" si="115"/>
        <v>4.8099999999999996</v>
      </c>
      <c r="G406" s="75">
        <f t="shared" si="116"/>
        <v>6.14</v>
      </c>
      <c r="H406" s="76">
        <f t="shared" si="117"/>
        <v>491.2</v>
      </c>
      <c r="I406" s="75"/>
      <c r="J406" s="75">
        <v>80</v>
      </c>
      <c r="K406" s="75">
        <f t="shared" si="113"/>
        <v>0</v>
      </c>
      <c r="L406" s="76">
        <f t="shared" si="118"/>
        <v>384.8</v>
      </c>
      <c r="M406" s="76">
        <f t="shared" si="119"/>
        <v>0</v>
      </c>
      <c r="N406" s="76">
        <f t="shared" si="120"/>
        <v>491.2</v>
      </c>
      <c r="O406" s="76">
        <f t="shared" si="121"/>
        <v>0</v>
      </c>
      <c r="P406" s="90">
        <f t="shared" si="122"/>
        <v>1</v>
      </c>
      <c r="Q406" s="51"/>
      <c r="T406" s="53">
        <v>4.8099999999999996</v>
      </c>
    </row>
    <row r="407" spans="1:20" s="56" customFormat="1" ht="12" x14ac:dyDescent="0.2">
      <c r="A407" s="94">
        <v>20154</v>
      </c>
      <c r="B407" s="80">
        <v>43898</v>
      </c>
      <c r="C407" s="74" t="s">
        <v>738</v>
      </c>
      <c r="D407" s="73" t="s">
        <v>102</v>
      </c>
      <c r="E407" s="75">
        <v>69</v>
      </c>
      <c r="F407" s="75">
        <f t="shared" si="115"/>
        <v>3.07</v>
      </c>
      <c r="G407" s="75">
        <f t="shared" si="116"/>
        <v>3.92</v>
      </c>
      <c r="H407" s="76">
        <f t="shared" si="117"/>
        <v>270.48</v>
      </c>
      <c r="I407" s="75"/>
      <c r="J407" s="75">
        <v>69</v>
      </c>
      <c r="K407" s="75">
        <f t="shared" si="113"/>
        <v>0</v>
      </c>
      <c r="L407" s="76">
        <f t="shared" si="118"/>
        <v>211.83</v>
      </c>
      <c r="M407" s="76">
        <f t="shared" si="119"/>
        <v>0</v>
      </c>
      <c r="N407" s="76">
        <f t="shared" si="120"/>
        <v>270.48</v>
      </c>
      <c r="O407" s="76">
        <f t="shared" si="121"/>
        <v>0</v>
      </c>
      <c r="P407" s="90">
        <f t="shared" si="122"/>
        <v>1</v>
      </c>
      <c r="Q407" s="51"/>
      <c r="T407" s="53">
        <v>3.07</v>
      </c>
    </row>
    <row r="408" spans="1:20" s="56" customFormat="1" ht="22.5" customHeight="1" x14ac:dyDescent="0.2">
      <c r="A408" s="73"/>
      <c r="B408" s="73"/>
      <c r="C408" s="74"/>
      <c r="D408" s="73"/>
      <c r="E408" s="75"/>
      <c r="F408" s="75"/>
      <c r="G408" s="77" t="s">
        <v>1381</v>
      </c>
      <c r="H408" s="78">
        <f>SUM(H399:H407)</f>
        <v>2071.5700000000002</v>
      </c>
      <c r="I408" s="72"/>
      <c r="J408" s="75"/>
      <c r="K408" s="75">
        <f t="shared" si="113"/>
        <v>0</v>
      </c>
      <c r="L408" s="76"/>
      <c r="M408" s="78">
        <f>SUM(M399:M407)</f>
        <v>0</v>
      </c>
      <c r="N408" s="78">
        <f>SUM(N399:N407)</f>
        <v>2071.5700000000002</v>
      </c>
      <c r="O408" s="78">
        <f>SUM(O399:O407)</f>
        <v>0</v>
      </c>
      <c r="P408" s="91">
        <f>N408/H408</f>
        <v>1</v>
      </c>
      <c r="Q408" s="51"/>
      <c r="T408" s="53"/>
    </row>
    <row r="409" spans="1:20" s="56" customFormat="1" ht="12" x14ac:dyDescent="0.2">
      <c r="A409" s="72"/>
      <c r="B409" s="70" t="s">
        <v>739</v>
      </c>
      <c r="C409" s="71" t="s">
        <v>740</v>
      </c>
      <c r="D409" s="72"/>
      <c r="E409" s="72"/>
      <c r="F409" s="75"/>
      <c r="G409" s="72"/>
      <c r="H409" s="72"/>
      <c r="I409" s="72"/>
      <c r="J409" s="75"/>
      <c r="K409" s="75">
        <f t="shared" si="113"/>
        <v>0</v>
      </c>
      <c r="L409" s="72"/>
      <c r="M409" s="72"/>
      <c r="N409" s="72"/>
      <c r="O409" s="72"/>
      <c r="P409" s="72"/>
      <c r="Q409" s="52"/>
      <c r="T409" s="52"/>
    </row>
    <row r="410" spans="1:20" s="56" customFormat="1" ht="12" x14ac:dyDescent="0.2">
      <c r="A410" s="94">
        <v>20141</v>
      </c>
      <c r="B410" s="80">
        <v>43922</v>
      </c>
      <c r="C410" s="74" t="s">
        <v>741</v>
      </c>
      <c r="D410" s="73" t="s">
        <v>102</v>
      </c>
      <c r="E410" s="75">
        <v>6</v>
      </c>
      <c r="F410" s="75">
        <f>ROUND(T410*$T$10,2)</f>
        <v>8.65</v>
      </c>
      <c r="G410" s="75">
        <f>ROUND(F410*(1+$U$1),2)</f>
        <v>11.04</v>
      </c>
      <c r="H410" s="76">
        <f>ROUND(E410*G410,2)</f>
        <v>66.239999999999995</v>
      </c>
      <c r="I410" s="75"/>
      <c r="J410" s="75">
        <v>6</v>
      </c>
      <c r="K410" s="75">
        <f t="shared" si="113"/>
        <v>0</v>
      </c>
      <c r="L410" s="76">
        <f>ROUND(E410*F410,2)</f>
        <v>51.9</v>
      </c>
      <c r="M410" s="76">
        <f>I410*G410</f>
        <v>0</v>
      </c>
      <c r="N410" s="76">
        <f>J410*G410</f>
        <v>66.239999999999995</v>
      </c>
      <c r="O410" s="76">
        <f>H410-N410</f>
        <v>0</v>
      </c>
      <c r="P410" s="90">
        <f>N410/H410</f>
        <v>1</v>
      </c>
      <c r="Q410" s="51"/>
      <c r="T410" s="53">
        <v>8.65</v>
      </c>
    </row>
    <row r="411" spans="1:20" s="56" customFormat="1" ht="12" x14ac:dyDescent="0.2">
      <c r="A411" s="94">
        <v>20140</v>
      </c>
      <c r="B411" s="80">
        <v>43923</v>
      </c>
      <c r="C411" s="74" t="s">
        <v>742</v>
      </c>
      <c r="D411" s="73" t="s">
        <v>102</v>
      </c>
      <c r="E411" s="75">
        <v>3</v>
      </c>
      <c r="F411" s="75">
        <f>ROUND(T411*$T$10,2)</f>
        <v>5.75</v>
      </c>
      <c r="G411" s="75">
        <f>ROUND(F411*(1+$U$1),2)</f>
        <v>7.34</v>
      </c>
      <c r="H411" s="76">
        <f>ROUND(E411*G411,2)</f>
        <v>22.02</v>
      </c>
      <c r="I411" s="75"/>
      <c r="J411" s="75">
        <v>3</v>
      </c>
      <c r="K411" s="75">
        <f t="shared" si="113"/>
        <v>0</v>
      </c>
      <c r="L411" s="76">
        <f>ROUND(E411*F411,2)</f>
        <v>17.25</v>
      </c>
      <c r="M411" s="76">
        <f>I411*G411</f>
        <v>0</v>
      </c>
      <c r="N411" s="76">
        <f>J411*G411</f>
        <v>22.02</v>
      </c>
      <c r="O411" s="76">
        <f>H411-N411</f>
        <v>0</v>
      </c>
      <c r="P411" s="90">
        <f>N411/H411</f>
        <v>1</v>
      </c>
      <c r="Q411" s="51"/>
      <c r="T411" s="53">
        <v>5.75</v>
      </c>
    </row>
    <row r="412" spans="1:20" s="56" customFormat="1" ht="22.5" customHeight="1" x14ac:dyDescent="0.2">
      <c r="A412" s="73"/>
      <c r="B412" s="73"/>
      <c r="C412" s="74"/>
      <c r="D412" s="73"/>
      <c r="E412" s="75"/>
      <c r="F412" s="75"/>
      <c r="G412" s="77" t="s">
        <v>1382</v>
      </c>
      <c r="H412" s="78">
        <f>SUM(H410:H411)</f>
        <v>88.259999999999991</v>
      </c>
      <c r="I412" s="75"/>
      <c r="J412" s="75"/>
      <c r="K412" s="75">
        <f t="shared" si="113"/>
        <v>0</v>
      </c>
      <c r="L412" s="76"/>
      <c r="M412" s="78">
        <f>SUM(M410:M411)</f>
        <v>0</v>
      </c>
      <c r="N412" s="78">
        <f>SUM(N410:N411)</f>
        <v>88.259999999999991</v>
      </c>
      <c r="O412" s="78">
        <f>SUM(O410:O411)</f>
        <v>0</v>
      </c>
      <c r="P412" s="91">
        <f>N412/H412</f>
        <v>1</v>
      </c>
      <c r="Q412" s="51"/>
      <c r="T412" s="53"/>
    </row>
    <row r="413" spans="1:20" s="56" customFormat="1" ht="12" x14ac:dyDescent="0.2">
      <c r="A413" s="72"/>
      <c r="B413" s="70" t="s">
        <v>743</v>
      </c>
      <c r="C413" s="71" t="s">
        <v>641</v>
      </c>
      <c r="D413" s="72"/>
      <c r="E413" s="72"/>
      <c r="F413" s="75"/>
      <c r="G413" s="72"/>
      <c r="H413" s="72"/>
      <c r="I413" s="72"/>
      <c r="J413" s="75"/>
      <c r="K413" s="75">
        <f t="shared" si="113"/>
        <v>0</v>
      </c>
      <c r="L413" s="72"/>
      <c r="M413" s="72"/>
      <c r="N413" s="72"/>
      <c r="O413" s="72"/>
      <c r="P413" s="72"/>
      <c r="Q413" s="52"/>
      <c r="T413" s="52"/>
    </row>
    <row r="414" spans="1:20" s="56" customFormat="1" ht="12" x14ac:dyDescent="0.2">
      <c r="A414" s="94">
        <v>20171</v>
      </c>
      <c r="B414" s="80">
        <v>43952</v>
      </c>
      <c r="C414" s="74" t="s">
        <v>744</v>
      </c>
      <c r="D414" s="73" t="s">
        <v>102</v>
      </c>
      <c r="E414" s="75">
        <v>13</v>
      </c>
      <c r="F414" s="75">
        <f>ROUND(T414*$T$10,2)</f>
        <v>25.8</v>
      </c>
      <c r="G414" s="75">
        <f>ROUND(F414*(1+$U$1),2)</f>
        <v>32.92</v>
      </c>
      <c r="H414" s="76">
        <f>ROUND(E414*G414,2)</f>
        <v>427.96</v>
      </c>
      <c r="I414" s="75"/>
      <c r="J414" s="75">
        <v>13</v>
      </c>
      <c r="K414" s="75">
        <f t="shared" si="113"/>
        <v>0</v>
      </c>
      <c r="L414" s="76">
        <f>ROUND(E414*F414,2)</f>
        <v>335.4</v>
      </c>
      <c r="M414" s="76">
        <f>I414*G414</f>
        <v>0</v>
      </c>
      <c r="N414" s="76">
        <f>J414*G414</f>
        <v>427.96000000000004</v>
      </c>
      <c r="O414" s="76">
        <f>H414-N414</f>
        <v>0</v>
      </c>
      <c r="P414" s="90">
        <f t="shared" ref="P414:P419" si="123">N414/H414</f>
        <v>1.0000000000000002</v>
      </c>
      <c r="Q414" s="51"/>
      <c r="T414" s="53">
        <v>25.8</v>
      </c>
    </row>
    <row r="415" spans="1:20" s="56" customFormat="1" ht="12" x14ac:dyDescent="0.2">
      <c r="A415" s="94">
        <v>20170</v>
      </c>
      <c r="B415" s="80">
        <v>43953</v>
      </c>
      <c r="C415" s="74" t="s">
        <v>745</v>
      </c>
      <c r="D415" s="73" t="s">
        <v>102</v>
      </c>
      <c r="E415" s="75">
        <v>7</v>
      </c>
      <c r="F415" s="75">
        <f>ROUND(T415*$T$10,2)</f>
        <v>8.23</v>
      </c>
      <c r="G415" s="75">
        <f>ROUND(F415*(1+$U$1),2)</f>
        <v>10.5</v>
      </c>
      <c r="H415" s="76">
        <f>ROUND(E415*G415,2)</f>
        <v>73.5</v>
      </c>
      <c r="I415" s="75"/>
      <c r="J415" s="75">
        <v>7</v>
      </c>
      <c r="K415" s="75">
        <f t="shared" si="113"/>
        <v>0</v>
      </c>
      <c r="L415" s="76">
        <f>ROUND(E415*F415,2)</f>
        <v>57.61</v>
      </c>
      <c r="M415" s="76">
        <f>I415*G415</f>
        <v>0</v>
      </c>
      <c r="N415" s="76">
        <f>J415*G415</f>
        <v>73.5</v>
      </c>
      <c r="O415" s="76">
        <f>H415-N415</f>
        <v>0</v>
      </c>
      <c r="P415" s="90">
        <f t="shared" si="123"/>
        <v>1</v>
      </c>
      <c r="Q415" s="51"/>
      <c r="T415" s="53">
        <v>8.23</v>
      </c>
    </row>
    <row r="416" spans="1:20" s="56" customFormat="1" ht="12" x14ac:dyDescent="0.2">
      <c r="A416" s="94">
        <v>20169</v>
      </c>
      <c r="B416" s="80">
        <v>43954</v>
      </c>
      <c r="C416" s="74" t="s">
        <v>746</v>
      </c>
      <c r="D416" s="73" t="s">
        <v>102</v>
      </c>
      <c r="E416" s="75">
        <v>8</v>
      </c>
      <c r="F416" s="75">
        <f>ROUND(T416*$T$10,2)</f>
        <v>6.79</v>
      </c>
      <c r="G416" s="75">
        <f>ROUND(F416*(1+$U$1),2)</f>
        <v>8.66</v>
      </c>
      <c r="H416" s="76">
        <f>ROUND(E416*G416,2)</f>
        <v>69.28</v>
      </c>
      <c r="I416" s="75"/>
      <c r="J416" s="75">
        <v>8</v>
      </c>
      <c r="K416" s="75">
        <f t="shared" si="113"/>
        <v>0</v>
      </c>
      <c r="L416" s="76">
        <f>ROUND(E416*F416,2)</f>
        <v>54.32</v>
      </c>
      <c r="M416" s="76">
        <f>I416*G416</f>
        <v>0</v>
      </c>
      <c r="N416" s="76">
        <f>J416*G416</f>
        <v>69.28</v>
      </c>
      <c r="O416" s="76">
        <f>H416-N416</f>
        <v>0</v>
      </c>
      <c r="P416" s="90">
        <f t="shared" si="123"/>
        <v>1</v>
      </c>
      <c r="Q416" s="51"/>
      <c r="T416" s="53">
        <v>6.79</v>
      </c>
    </row>
    <row r="417" spans="1:20" s="56" customFormat="1" ht="12" x14ac:dyDescent="0.2">
      <c r="A417" s="94">
        <v>20168</v>
      </c>
      <c r="B417" s="80">
        <v>43955</v>
      </c>
      <c r="C417" s="74" t="s">
        <v>747</v>
      </c>
      <c r="D417" s="73" t="s">
        <v>102</v>
      </c>
      <c r="E417" s="75">
        <v>14</v>
      </c>
      <c r="F417" s="75">
        <f>ROUND(T417*$T$10,2)</f>
        <v>4.83</v>
      </c>
      <c r="G417" s="75">
        <f>ROUND(F417*(1+$U$1),2)</f>
        <v>6.16</v>
      </c>
      <c r="H417" s="76">
        <f>ROUND(E417*G417,2)</f>
        <v>86.24</v>
      </c>
      <c r="I417" s="75"/>
      <c r="J417" s="75">
        <v>14</v>
      </c>
      <c r="K417" s="75">
        <f t="shared" si="113"/>
        <v>0</v>
      </c>
      <c r="L417" s="76">
        <f>ROUND(E417*F417,2)</f>
        <v>67.62</v>
      </c>
      <c r="M417" s="76">
        <f>I417*G417</f>
        <v>0</v>
      </c>
      <c r="N417" s="76">
        <f>J417*G417</f>
        <v>86.240000000000009</v>
      </c>
      <c r="O417" s="76">
        <f>H417-N417</f>
        <v>0</v>
      </c>
      <c r="P417" s="90">
        <f t="shared" si="123"/>
        <v>1.0000000000000002</v>
      </c>
      <c r="Q417" s="51"/>
      <c r="T417" s="53">
        <v>4.83</v>
      </c>
    </row>
    <row r="418" spans="1:20" s="56" customFormat="1" ht="12" x14ac:dyDescent="0.2">
      <c r="A418" s="94">
        <v>20167</v>
      </c>
      <c r="B418" s="80">
        <v>43956</v>
      </c>
      <c r="C418" s="74" t="s">
        <v>748</v>
      </c>
      <c r="D418" s="73" t="s">
        <v>102</v>
      </c>
      <c r="E418" s="75">
        <v>7</v>
      </c>
      <c r="F418" s="75">
        <f>ROUND(T418*$T$10,2)</f>
        <v>3.24</v>
      </c>
      <c r="G418" s="75">
        <f>ROUND(F418*(1+$U$1),2)</f>
        <v>4.13</v>
      </c>
      <c r="H418" s="76">
        <f>ROUND(E418*G418,2)</f>
        <v>28.91</v>
      </c>
      <c r="I418" s="75"/>
      <c r="J418" s="75">
        <v>7</v>
      </c>
      <c r="K418" s="75">
        <f t="shared" si="113"/>
        <v>0</v>
      </c>
      <c r="L418" s="76">
        <f>ROUND(E418*F418,2)</f>
        <v>22.68</v>
      </c>
      <c r="M418" s="76">
        <f>I418*G418</f>
        <v>0</v>
      </c>
      <c r="N418" s="76">
        <f>J418*G418</f>
        <v>28.91</v>
      </c>
      <c r="O418" s="76">
        <f>H418-N418</f>
        <v>0</v>
      </c>
      <c r="P418" s="90">
        <f t="shared" si="123"/>
        <v>1</v>
      </c>
      <c r="Q418" s="51"/>
      <c r="T418" s="53">
        <v>3.24</v>
      </c>
    </row>
    <row r="419" spans="1:20" s="56" customFormat="1" ht="22.5" customHeight="1" x14ac:dyDescent="0.2">
      <c r="A419" s="73"/>
      <c r="B419" s="73"/>
      <c r="C419" s="74"/>
      <c r="D419" s="73"/>
      <c r="E419" s="75"/>
      <c r="F419" s="75"/>
      <c r="G419" s="77" t="s">
        <v>1383</v>
      </c>
      <c r="H419" s="78">
        <f>SUM(H414:H418)</f>
        <v>685.89</v>
      </c>
      <c r="I419" s="75"/>
      <c r="J419" s="75"/>
      <c r="K419" s="75">
        <f t="shared" si="113"/>
        <v>0</v>
      </c>
      <c r="L419" s="76"/>
      <c r="M419" s="78">
        <f>SUM(M414:M418)</f>
        <v>0</v>
      </c>
      <c r="N419" s="78">
        <f>SUM(N414:N418)</f>
        <v>685.89</v>
      </c>
      <c r="O419" s="78">
        <f>SUM(O414:O418)</f>
        <v>0</v>
      </c>
      <c r="P419" s="91">
        <f t="shared" si="123"/>
        <v>1</v>
      </c>
      <c r="Q419" s="51"/>
      <c r="T419" s="53"/>
    </row>
    <row r="420" spans="1:20" s="56" customFormat="1" ht="12" x14ac:dyDescent="0.2">
      <c r="A420" s="72"/>
      <c r="B420" s="70" t="s">
        <v>749</v>
      </c>
      <c r="C420" s="71" t="s">
        <v>750</v>
      </c>
      <c r="D420" s="72"/>
      <c r="E420" s="72"/>
      <c r="F420" s="75"/>
      <c r="G420" s="72"/>
      <c r="H420" s="72"/>
      <c r="I420" s="72"/>
      <c r="J420" s="75"/>
      <c r="K420" s="75">
        <f t="shared" si="113"/>
        <v>0</v>
      </c>
      <c r="L420" s="72"/>
      <c r="M420" s="72"/>
      <c r="N420" s="72"/>
      <c r="O420" s="72"/>
      <c r="P420" s="72"/>
      <c r="Q420" s="52"/>
      <c r="T420" s="52"/>
    </row>
    <row r="421" spans="1:20" s="56" customFormat="1" ht="12" x14ac:dyDescent="0.2">
      <c r="A421" s="94">
        <v>20042</v>
      </c>
      <c r="B421" s="80">
        <v>43983</v>
      </c>
      <c r="C421" s="74" t="s">
        <v>751</v>
      </c>
      <c r="D421" s="73" t="s">
        <v>102</v>
      </c>
      <c r="E421" s="75">
        <v>9</v>
      </c>
      <c r="F421" s="75">
        <f>ROUND(T421*$T$10,2)</f>
        <v>3.11</v>
      </c>
      <c r="G421" s="75">
        <f>ROUND(F421*(1+$U$1),2)</f>
        <v>3.97</v>
      </c>
      <c r="H421" s="76">
        <f>ROUND(E421*G421,2)</f>
        <v>35.729999999999997</v>
      </c>
      <c r="I421" s="75"/>
      <c r="J421" s="75">
        <v>9</v>
      </c>
      <c r="K421" s="75">
        <f t="shared" si="113"/>
        <v>0</v>
      </c>
      <c r="L421" s="76">
        <f>ROUND(E421*F421,2)</f>
        <v>27.99</v>
      </c>
      <c r="M421" s="76">
        <f>I421*G421</f>
        <v>0</v>
      </c>
      <c r="N421" s="76">
        <f>J421*G421</f>
        <v>35.730000000000004</v>
      </c>
      <c r="O421" s="76">
        <f>H421-N421</f>
        <v>0</v>
      </c>
      <c r="P421" s="90">
        <f>N421/H421</f>
        <v>1.0000000000000002</v>
      </c>
      <c r="Q421" s="51"/>
      <c r="T421" s="53">
        <v>3.11</v>
      </c>
    </row>
    <row r="422" spans="1:20" s="56" customFormat="1" ht="12" x14ac:dyDescent="0.2">
      <c r="A422" s="94">
        <v>38418</v>
      </c>
      <c r="B422" s="80">
        <v>43984</v>
      </c>
      <c r="C422" s="74" t="s">
        <v>752</v>
      </c>
      <c r="D422" s="73" t="s">
        <v>102</v>
      </c>
      <c r="E422" s="75">
        <v>2</v>
      </c>
      <c r="F422" s="75">
        <f>ROUND(T422*$T$10,2)</f>
        <v>3.14</v>
      </c>
      <c r="G422" s="75">
        <f>ROUND(F422*(1+$U$1),2)</f>
        <v>4.01</v>
      </c>
      <c r="H422" s="76">
        <f>ROUND(E422*G422,2)</f>
        <v>8.02</v>
      </c>
      <c r="I422" s="75"/>
      <c r="J422" s="75">
        <v>2</v>
      </c>
      <c r="K422" s="75">
        <f t="shared" si="113"/>
        <v>0</v>
      </c>
      <c r="L422" s="76">
        <f>ROUND(E422*F422,2)</f>
        <v>6.28</v>
      </c>
      <c r="M422" s="76">
        <f>I422*G422</f>
        <v>0</v>
      </c>
      <c r="N422" s="76">
        <f>J422*G422</f>
        <v>8.02</v>
      </c>
      <c r="O422" s="76">
        <f>H422-N422</f>
        <v>0</v>
      </c>
      <c r="P422" s="90">
        <f>N422/H422</f>
        <v>1</v>
      </c>
      <c r="Q422" s="51"/>
      <c r="T422" s="53">
        <v>3.14</v>
      </c>
    </row>
    <row r="423" spans="1:20" s="56" customFormat="1" ht="23.25" customHeight="1" x14ac:dyDescent="0.2">
      <c r="A423" s="73"/>
      <c r="B423" s="73"/>
      <c r="C423" s="74"/>
      <c r="D423" s="73"/>
      <c r="E423" s="75"/>
      <c r="F423" s="75"/>
      <c r="G423" s="77" t="s">
        <v>1384</v>
      </c>
      <c r="H423" s="78">
        <f>SUM(H421:H422)</f>
        <v>43.75</v>
      </c>
      <c r="I423" s="75"/>
      <c r="J423" s="75">
        <v>0</v>
      </c>
      <c r="K423" s="75">
        <f t="shared" si="113"/>
        <v>0</v>
      </c>
      <c r="L423" s="76"/>
      <c r="M423" s="78">
        <f>SUM(M421:M422)</f>
        <v>0</v>
      </c>
      <c r="N423" s="78">
        <f>SUM(N421:N422)</f>
        <v>43.75</v>
      </c>
      <c r="O423" s="78">
        <f>SUM(O421:O422)</f>
        <v>0</v>
      </c>
      <c r="P423" s="91">
        <f>N423/H423</f>
        <v>1</v>
      </c>
      <c r="Q423" s="51"/>
      <c r="T423" s="53"/>
    </row>
    <row r="424" spans="1:20" s="56" customFormat="1" ht="12" x14ac:dyDescent="0.2">
      <c r="A424" s="72"/>
      <c r="B424" s="70" t="s">
        <v>753</v>
      </c>
      <c r="C424" s="71" t="s">
        <v>754</v>
      </c>
      <c r="D424" s="72"/>
      <c r="E424" s="72"/>
      <c r="F424" s="75"/>
      <c r="G424" s="72"/>
      <c r="H424" s="72"/>
      <c r="I424" s="72"/>
      <c r="J424" s="75">
        <v>0</v>
      </c>
      <c r="K424" s="75">
        <f t="shared" si="113"/>
        <v>0</v>
      </c>
      <c r="L424" s="72"/>
      <c r="M424" s="72"/>
      <c r="N424" s="72"/>
      <c r="O424" s="72"/>
      <c r="P424" s="72"/>
      <c r="Q424" s="52"/>
      <c r="T424" s="52"/>
    </row>
    <row r="425" spans="1:20" s="56" customFormat="1" ht="12" x14ac:dyDescent="0.2">
      <c r="A425" s="94">
        <v>89834</v>
      </c>
      <c r="B425" s="80">
        <v>44013</v>
      </c>
      <c r="C425" s="74" t="s">
        <v>755</v>
      </c>
      <c r="D425" s="73" t="s">
        <v>102</v>
      </c>
      <c r="E425" s="75">
        <v>23</v>
      </c>
      <c r="F425" s="75">
        <f>ROUND(T425*$T$10,2)</f>
        <v>26.88</v>
      </c>
      <c r="G425" s="75">
        <f>ROUND(F425*(1+$U$1),2)</f>
        <v>34.299999999999997</v>
      </c>
      <c r="H425" s="76">
        <f>ROUND(E425*G425,2)</f>
        <v>788.9</v>
      </c>
      <c r="I425" s="75"/>
      <c r="J425" s="75">
        <v>23</v>
      </c>
      <c r="K425" s="75">
        <f t="shared" si="113"/>
        <v>0</v>
      </c>
      <c r="L425" s="76">
        <f>ROUND(E425*F425,2)</f>
        <v>618.24</v>
      </c>
      <c r="M425" s="76">
        <f>I425*G425</f>
        <v>0</v>
      </c>
      <c r="N425" s="76">
        <f>J425*G425</f>
        <v>788.9</v>
      </c>
      <c r="O425" s="76">
        <f>H425-N425</f>
        <v>0</v>
      </c>
      <c r="P425" s="90">
        <f>N425/H425</f>
        <v>1</v>
      </c>
      <c r="Q425" s="51"/>
      <c r="T425" s="53">
        <v>26.88</v>
      </c>
    </row>
    <row r="426" spans="1:20" s="56" customFormat="1" ht="24.75" customHeight="1" x14ac:dyDescent="0.2">
      <c r="A426" s="73"/>
      <c r="B426" s="73"/>
      <c r="C426" s="74"/>
      <c r="D426" s="73"/>
      <c r="E426" s="75"/>
      <c r="F426" s="75"/>
      <c r="G426" s="77" t="s">
        <v>1385</v>
      </c>
      <c r="H426" s="78">
        <f>SUM(H425)</f>
        <v>788.9</v>
      </c>
      <c r="I426" s="75"/>
      <c r="J426" s="75">
        <v>0</v>
      </c>
      <c r="K426" s="75">
        <f t="shared" si="113"/>
        <v>0</v>
      </c>
      <c r="L426" s="76"/>
      <c r="M426" s="78">
        <f>SUM(M425)</f>
        <v>0</v>
      </c>
      <c r="N426" s="78">
        <f>SUM(N425)</f>
        <v>788.9</v>
      </c>
      <c r="O426" s="78">
        <f>SUM(O425)</f>
        <v>0</v>
      </c>
      <c r="P426" s="91">
        <f>N426/H426</f>
        <v>1</v>
      </c>
      <c r="Q426" s="51"/>
      <c r="T426" s="53"/>
    </row>
    <row r="427" spans="1:20" s="56" customFormat="1" ht="12" x14ac:dyDescent="0.2">
      <c r="A427" s="72"/>
      <c r="B427" s="70" t="s">
        <v>756</v>
      </c>
      <c r="C427" s="71" t="s">
        <v>757</v>
      </c>
      <c r="D427" s="72"/>
      <c r="E427" s="72"/>
      <c r="F427" s="75"/>
      <c r="G427" s="72"/>
      <c r="H427" s="72"/>
      <c r="I427" s="72"/>
      <c r="J427" s="75">
        <v>0</v>
      </c>
      <c r="K427" s="75">
        <f t="shared" si="113"/>
        <v>0</v>
      </c>
      <c r="L427" s="72"/>
      <c r="M427" s="72"/>
      <c r="N427" s="72"/>
      <c r="O427" s="72"/>
      <c r="P427" s="72"/>
      <c r="Q427" s="52"/>
      <c r="T427" s="52"/>
    </row>
    <row r="428" spans="1:20" s="56" customFormat="1" ht="12" x14ac:dyDescent="0.2">
      <c r="A428" s="94">
        <v>6138</v>
      </c>
      <c r="B428" s="80">
        <v>44044</v>
      </c>
      <c r="C428" s="74" t="s">
        <v>758</v>
      </c>
      <c r="D428" s="73" t="s">
        <v>102</v>
      </c>
      <c r="E428" s="75">
        <v>23</v>
      </c>
      <c r="F428" s="75">
        <f>ROUND(T428*$T$10,2)</f>
        <v>1.66</v>
      </c>
      <c r="G428" s="75">
        <f>ROUND(F428*(1+$U$1),2)</f>
        <v>2.12</v>
      </c>
      <c r="H428" s="76">
        <f>ROUND(E428*G428,2)</f>
        <v>48.76</v>
      </c>
      <c r="I428" s="75"/>
      <c r="J428" s="75">
        <v>23</v>
      </c>
      <c r="K428" s="75">
        <f t="shared" si="113"/>
        <v>0</v>
      </c>
      <c r="L428" s="76">
        <f>ROUND(E428*F428,2)</f>
        <v>38.18</v>
      </c>
      <c r="M428" s="76">
        <f>I428*G428</f>
        <v>0</v>
      </c>
      <c r="N428" s="76">
        <f>J428*G428</f>
        <v>48.760000000000005</v>
      </c>
      <c r="O428" s="76">
        <f>H428-N428</f>
        <v>0</v>
      </c>
      <c r="P428" s="90">
        <f>N428/H428</f>
        <v>1.0000000000000002</v>
      </c>
      <c r="Q428" s="51"/>
      <c r="T428" s="53">
        <v>1.66</v>
      </c>
    </row>
    <row r="429" spans="1:20" s="56" customFormat="1" ht="21.75" customHeight="1" x14ac:dyDescent="0.2">
      <c r="A429" s="73"/>
      <c r="B429" s="73"/>
      <c r="C429" s="74"/>
      <c r="D429" s="73"/>
      <c r="E429" s="75"/>
      <c r="F429" s="75"/>
      <c r="G429" s="77" t="s">
        <v>1386</v>
      </c>
      <c r="H429" s="78">
        <f>SUM(H428)</f>
        <v>48.76</v>
      </c>
      <c r="I429" s="75"/>
      <c r="J429" s="75">
        <v>0</v>
      </c>
      <c r="K429" s="75">
        <f t="shared" si="113"/>
        <v>0</v>
      </c>
      <c r="L429" s="76"/>
      <c r="M429" s="78">
        <f>SUM(M428)</f>
        <v>0</v>
      </c>
      <c r="N429" s="78">
        <f>SUM(N428)</f>
        <v>48.760000000000005</v>
      </c>
      <c r="O429" s="78">
        <f>SUM(O428)</f>
        <v>0</v>
      </c>
      <c r="P429" s="91">
        <f>N429/H429</f>
        <v>1.0000000000000002</v>
      </c>
      <c r="Q429" s="51"/>
      <c r="T429" s="53"/>
    </row>
    <row r="430" spans="1:20" s="56" customFormat="1" ht="12" x14ac:dyDescent="0.2">
      <c r="A430" s="72"/>
      <c r="B430" s="70" t="s">
        <v>759</v>
      </c>
      <c r="C430" s="71" t="s">
        <v>760</v>
      </c>
      <c r="D430" s="72"/>
      <c r="E430" s="72"/>
      <c r="F430" s="75"/>
      <c r="G430" s="72"/>
      <c r="H430" s="76"/>
      <c r="I430" s="72"/>
      <c r="J430" s="75">
        <v>0</v>
      </c>
      <c r="K430" s="75">
        <f t="shared" si="113"/>
        <v>0</v>
      </c>
      <c r="L430" s="76"/>
      <c r="M430" s="76"/>
      <c r="N430" s="76"/>
      <c r="O430" s="76"/>
      <c r="P430" s="76"/>
      <c r="Q430" s="51"/>
      <c r="T430" s="52"/>
    </row>
    <row r="431" spans="1:20" s="56" customFormat="1" ht="24" x14ac:dyDescent="0.2">
      <c r="A431" s="95">
        <v>84</v>
      </c>
      <c r="B431" s="80">
        <v>44075</v>
      </c>
      <c r="C431" s="74" t="s">
        <v>761</v>
      </c>
      <c r="D431" s="73" t="s">
        <v>102</v>
      </c>
      <c r="E431" s="75">
        <v>17</v>
      </c>
      <c r="F431" s="75">
        <f>ROUND(T431*$T$10,2)</f>
        <v>1.34</v>
      </c>
      <c r="G431" s="75">
        <f>ROUND(F431*(1+$U$1),2)</f>
        <v>1.71</v>
      </c>
      <c r="H431" s="76">
        <f>ROUND(E431*G431,2)</f>
        <v>29.07</v>
      </c>
      <c r="I431" s="75"/>
      <c r="J431" s="75">
        <v>17</v>
      </c>
      <c r="K431" s="75">
        <f t="shared" si="113"/>
        <v>0</v>
      </c>
      <c r="L431" s="76">
        <f>ROUND(E431*F431,2)</f>
        <v>22.78</v>
      </c>
      <c r="M431" s="76">
        <f>I431*G431</f>
        <v>0</v>
      </c>
      <c r="N431" s="76">
        <f>J431*G431</f>
        <v>29.07</v>
      </c>
      <c r="O431" s="76">
        <f>H431-N431</f>
        <v>0</v>
      </c>
      <c r="P431" s="90">
        <f>N431/H431</f>
        <v>1</v>
      </c>
      <c r="Q431" s="51"/>
      <c r="T431" s="53">
        <v>1.34</v>
      </c>
    </row>
    <row r="432" spans="1:20" s="56" customFormat="1" ht="26.25" customHeight="1" x14ac:dyDescent="0.2">
      <c r="A432" s="73"/>
      <c r="B432" s="73"/>
      <c r="C432" s="74"/>
      <c r="D432" s="73"/>
      <c r="E432" s="75"/>
      <c r="F432" s="75"/>
      <c r="G432" s="77" t="s">
        <v>1387</v>
      </c>
      <c r="H432" s="78">
        <f>SUM(H431)</f>
        <v>29.07</v>
      </c>
      <c r="I432" s="75"/>
      <c r="J432" s="75">
        <v>0</v>
      </c>
      <c r="K432" s="75">
        <f t="shared" si="113"/>
        <v>0</v>
      </c>
      <c r="L432" s="76"/>
      <c r="M432" s="78">
        <f>SUM(M431)</f>
        <v>0</v>
      </c>
      <c r="N432" s="78">
        <f>SUM(N431)</f>
        <v>29.07</v>
      </c>
      <c r="O432" s="78">
        <f>SUM(O431)</f>
        <v>0</v>
      </c>
      <c r="P432" s="91">
        <f>N432/H432</f>
        <v>1</v>
      </c>
      <c r="Q432" s="51"/>
      <c r="T432" s="53"/>
    </row>
    <row r="433" spans="1:20" s="56" customFormat="1" ht="12" x14ac:dyDescent="0.2">
      <c r="A433" s="72"/>
      <c r="B433" s="70" t="s">
        <v>762</v>
      </c>
      <c r="C433" s="71" t="s">
        <v>450</v>
      </c>
      <c r="D433" s="72"/>
      <c r="E433" s="72"/>
      <c r="F433" s="75"/>
      <c r="G433" s="72"/>
      <c r="H433" s="72"/>
      <c r="I433" s="72"/>
      <c r="J433" s="75">
        <v>0</v>
      </c>
      <c r="K433" s="75">
        <f t="shared" si="113"/>
        <v>0</v>
      </c>
      <c r="L433" s="72"/>
      <c r="M433" s="72"/>
      <c r="N433" s="72"/>
      <c r="O433" s="72"/>
      <c r="P433" s="72"/>
      <c r="Q433" s="52"/>
      <c r="T433" s="52"/>
    </row>
    <row r="434" spans="1:20" s="56" customFormat="1" ht="12" x14ac:dyDescent="0.2">
      <c r="A434" s="94">
        <v>20178</v>
      </c>
      <c r="B434" s="84">
        <v>44105</v>
      </c>
      <c r="C434" s="74" t="s">
        <v>763</v>
      </c>
      <c r="D434" s="73" t="s">
        <v>102</v>
      </c>
      <c r="E434" s="75">
        <v>23</v>
      </c>
      <c r="F434" s="75">
        <f>ROUND(T434*$T$10,2)</f>
        <v>21.6</v>
      </c>
      <c r="G434" s="75">
        <f>ROUND(F434*(1+$U$1),2)</f>
        <v>27.56</v>
      </c>
      <c r="H434" s="76">
        <f>ROUND(E434*G434,2)</f>
        <v>633.88</v>
      </c>
      <c r="I434" s="75"/>
      <c r="J434" s="75">
        <v>23</v>
      </c>
      <c r="K434" s="75">
        <f t="shared" si="113"/>
        <v>0</v>
      </c>
      <c r="L434" s="76">
        <f>ROUND(E434*F434,2)</f>
        <v>496.8</v>
      </c>
      <c r="M434" s="76">
        <f>I434*G434</f>
        <v>0</v>
      </c>
      <c r="N434" s="76">
        <f>J434*G434</f>
        <v>633.88</v>
      </c>
      <c r="O434" s="76">
        <f>H434-N434</f>
        <v>0</v>
      </c>
      <c r="P434" s="90">
        <f t="shared" ref="P434:P439" si="124">N434/H434</f>
        <v>1</v>
      </c>
      <c r="Q434" s="51"/>
      <c r="T434" s="53">
        <v>21.6</v>
      </c>
    </row>
    <row r="435" spans="1:20" s="56" customFormat="1" ht="12" x14ac:dyDescent="0.2">
      <c r="A435" s="73" t="s">
        <v>308</v>
      </c>
      <c r="B435" s="84">
        <v>44106</v>
      </c>
      <c r="C435" s="74" t="s">
        <v>764</v>
      </c>
      <c r="D435" s="73" t="s">
        <v>102</v>
      </c>
      <c r="E435" s="75">
        <v>21</v>
      </c>
      <c r="F435" s="75">
        <f>ROUND(T435*$T$10,2)</f>
        <v>15.9</v>
      </c>
      <c r="G435" s="75">
        <f>ROUND(F435*(1+$U$1),2)</f>
        <v>20.29</v>
      </c>
      <c r="H435" s="76">
        <f>ROUND(E435*G435,2)</f>
        <v>426.09</v>
      </c>
      <c r="I435" s="75"/>
      <c r="J435" s="75">
        <v>21</v>
      </c>
      <c r="K435" s="75">
        <f t="shared" si="113"/>
        <v>0</v>
      </c>
      <c r="L435" s="76">
        <f>ROUND(E435*F435,2)</f>
        <v>333.9</v>
      </c>
      <c r="M435" s="76">
        <f>I435*G435</f>
        <v>0</v>
      </c>
      <c r="N435" s="76">
        <f>J435*G435</f>
        <v>426.09</v>
      </c>
      <c r="O435" s="76">
        <f>H435-N435</f>
        <v>0</v>
      </c>
      <c r="P435" s="90">
        <f t="shared" si="124"/>
        <v>1</v>
      </c>
      <c r="Q435" s="51"/>
      <c r="T435" s="53">
        <v>15.9</v>
      </c>
    </row>
    <row r="436" spans="1:20" s="56" customFormat="1" ht="12" x14ac:dyDescent="0.2">
      <c r="A436" s="94">
        <v>20179</v>
      </c>
      <c r="B436" s="84">
        <v>44107</v>
      </c>
      <c r="C436" s="74" t="s">
        <v>765</v>
      </c>
      <c r="D436" s="73" t="s">
        <v>102</v>
      </c>
      <c r="E436" s="75">
        <v>2</v>
      </c>
      <c r="F436" s="75">
        <f>ROUND(T436*$T$10,2)</f>
        <v>29.74</v>
      </c>
      <c r="G436" s="75">
        <f>ROUND(F436*(1+$U$1),2)</f>
        <v>37.950000000000003</v>
      </c>
      <c r="H436" s="76">
        <f>ROUND(E436*G436,2)</f>
        <v>75.900000000000006</v>
      </c>
      <c r="I436" s="75"/>
      <c r="J436" s="75">
        <v>2</v>
      </c>
      <c r="K436" s="75">
        <f t="shared" si="113"/>
        <v>0</v>
      </c>
      <c r="L436" s="76">
        <f>ROUND(E436*F436,2)</f>
        <v>59.48</v>
      </c>
      <c r="M436" s="76">
        <f>I436*G436</f>
        <v>0</v>
      </c>
      <c r="N436" s="76">
        <f>J436*G436</f>
        <v>75.900000000000006</v>
      </c>
      <c r="O436" s="76">
        <f>H436-N436</f>
        <v>0</v>
      </c>
      <c r="P436" s="90">
        <f t="shared" si="124"/>
        <v>1</v>
      </c>
      <c r="Q436" s="51"/>
      <c r="T436" s="53">
        <v>29.74</v>
      </c>
    </row>
    <row r="437" spans="1:20" s="56" customFormat="1" ht="12" x14ac:dyDescent="0.2">
      <c r="A437" s="94">
        <v>20177</v>
      </c>
      <c r="B437" s="84">
        <v>44108</v>
      </c>
      <c r="C437" s="74" t="s">
        <v>766</v>
      </c>
      <c r="D437" s="73" t="s">
        <v>102</v>
      </c>
      <c r="E437" s="75">
        <v>4</v>
      </c>
      <c r="F437" s="75">
        <f>ROUND(T437*$T$10,2)</f>
        <v>17.09</v>
      </c>
      <c r="G437" s="75">
        <f>ROUND(F437*(1+$U$1),2)</f>
        <v>21.81</v>
      </c>
      <c r="H437" s="76">
        <f>ROUND(E437*G437,2)</f>
        <v>87.24</v>
      </c>
      <c r="I437" s="75"/>
      <c r="J437" s="75">
        <v>4</v>
      </c>
      <c r="K437" s="75">
        <f t="shared" si="113"/>
        <v>0</v>
      </c>
      <c r="L437" s="76">
        <f>ROUND(E437*F437,2)</f>
        <v>68.36</v>
      </c>
      <c r="M437" s="76">
        <f>I437*G437</f>
        <v>0</v>
      </c>
      <c r="N437" s="76">
        <f>J437*G437</f>
        <v>87.24</v>
      </c>
      <c r="O437" s="76">
        <f>H437-N437</f>
        <v>0</v>
      </c>
      <c r="P437" s="90">
        <f t="shared" si="124"/>
        <v>1</v>
      </c>
      <c r="Q437" s="51"/>
      <c r="T437" s="53">
        <v>17.09</v>
      </c>
    </row>
    <row r="438" spans="1:20" s="56" customFormat="1" ht="12" x14ac:dyDescent="0.2">
      <c r="A438" s="94">
        <v>7097</v>
      </c>
      <c r="B438" s="84">
        <v>44109</v>
      </c>
      <c r="C438" s="74" t="s">
        <v>767</v>
      </c>
      <c r="D438" s="73" t="s">
        <v>102</v>
      </c>
      <c r="E438" s="75">
        <v>50</v>
      </c>
      <c r="F438" s="75">
        <f>ROUND(T438*$T$10,2)</f>
        <v>5.2</v>
      </c>
      <c r="G438" s="75">
        <f>ROUND(F438*(1+$U$1),2)</f>
        <v>6.63</v>
      </c>
      <c r="H438" s="76">
        <f>ROUND(E438*G438,2)</f>
        <v>331.5</v>
      </c>
      <c r="I438" s="75"/>
      <c r="J438" s="75">
        <v>50</v>
      </c>
      <c r="K438" s="75">
        <f t="shared" si="113"/>
        <v>0</v>
      </c>
      <c r="L438" s="76">
        <f>ROUND(E438*F438,2)</f>
        <v>260</v>
      </c>
      <c r="M438" s="76">
        <f>I438*G438</f>
        <v>0</v>
      </c>
      <c r="N438" s="76">
        <f>J438*G438</f>
        <v>331.5</v>
      </c>
      <c r="O438" s="76">
        <f>H438-N438</f>
        <v>0</v>
      </c>
      <c r="P438" s="90">
        <f t="shared" si="124"/>
        <v>1</v>
      </c>
      <c r="Q438" s="51"/>
      <c r="T438" s="53">
        <v>5.2</v>
      </c>
    </row>
    <row r="439" spans="1:20" s="56" customFormat="1" ht="26.25" customHeight="1" x14ac:dyDescent="0.2">
      <c r="A439" s="73"/>
      <c r="B439" s="73"/>
      <c r="C439" s="74"/>
      <c r="D439" s="73"/>
      <c r="E439" s="75"/>
      <c r="F439" s="75"/>
      <c r="G439" s="77" t="s">
        <v>1388</v>
      </c>
      <c r="H439" s="78">
        <f>SUM(H434:H438)</f>
        <v>1554.6100000000001</v>
      </c>
      <c r="I439" s="75"/>
      <c r="J439" s="75">
        <v>0</v>
      </c>
      <c r="K439" s="75">
        <f t="shared" si="113"/>
        <v>0</v>
      </c>
      <c r="L439" s="76"/>
      <c r="M439" s="78">
        <f>SUM(M434:M438)</f>
        <v>0</v>
      </c>
      <c r="N439" s="78">
        <f>SUM(N434:N438)</f>
        <v>1554.6100000000001</v>
      </c>
      <c r="O439" s="78">
        <f>SUM(O434:O438)</f>
        <v>0</v>
      </c>
      <c r="P439" s="91">
        <f t="shared" si="124"/>
        <v>1</v>
      </c>
      <c r="Q439" s="51"/>
      <c r="T439" s="53"/>
    </row>
    <row r="440" spans="1:20" s="56" customFormat="1" ht="12" x14ac:dyDescent="0.2">
      <c r="A440" s="72"/>
      <c r="B440" s="70" t="s">
        <v>768</v>
      </c>
      <c r="C440" s="71" t="s">
        <v>684</v>
      </c>
      <c r="D440" s="72"/>
      <c r="E440" s="72"/>
      <c r="F440" s="75"/>
      <c r="G440" s="72"/>
      <c r="H440" s="72"/>
      <c r="I440" s="72"/>
      <c r="J440" s="75">
        <v>0</v>
      </c>
      <c r="K440" s="75">
        <f t="shared" si="113"/>
        <v>0</v>
      </c>
      <c r="L440" s="72"/>
      <c r="M440" s="72"/>
      <c r="N440" s="72"/>
      <c r="O440" s="72"/>
      <c r="P440" s="72"/>
      <c r="Q440" s="52"/>
      <c r="T440" s="52"/>
    </row>
    <row r="441" spans="1:20" s="56" customFormat="1" ht="12" x14ac:dyDescent="0.2">
      <c r="A441" s="72"/>
      <c r="B441" s="85">
        <v>44136</v>
      </c>
      <c r="C441" s="71" t="s">
        <v>769</v>
      </c>
      <c r="D441" s="72"/>
      <c r="E441" s="72"/>
      <c r="F441" s="75"/>
      <c r="G441" s="72"/>
      <c r="H441" s="72"/>
      <c r="I441" s="75"/>
      <c r="J441" s="75">
        <v>0</v>
      </c>
      <c r="K441" s="75">
        <f t="shared" si="113"/>
        <v>0</v>
      </c>
      <c r="L441" s="72"/>
      <c r="M441" s="72"/>
      <c r="N441" s="72"/>
      <c r="O441" s="72"/>
      <c r="P441" s="72"/>
      <c r="Q441" s="52"/>
      <c r="T441" s="52"/>
    </row>
    <row r="442" spans="1:20" s="56" customFormat="1" ht="12" x14ac:dyDescent="0.2">
      <c r="A442" s="94">
        <v>11880</v>
      </c>
      <c r="B442" s="73" t="s">
        <v>770</v>
      </c>
      <c r="C442" s="74" t="s">
        <v>771</v>
      </c>
      <c r="D442" s="73" t="s">
        <v>102</v>
      </c>
      <c r="E442" s="75">
        <v>4</v>
      </c>
      <c r="F442" s="75">
        <f>ROUND(T442*$T$10,2)</f>
        <v>68.53</v>
      </c>
      <c r="G442" s="75">
        <f>ROUND(F442*(1+$U$1),2)</f>
        <v>87.44</v>
      </c>
      <c r="H442" s="76">
        <f>ROUND(E442*G442,2)</f>
        <v>349.76</v>
      </c>
      <c r="I442" s="75"/>
      <c r="J442" s="75">
        <v>4</v>
      </c>
      <c r="K442" s="75">
        <f t="shared" si="113"/>
        <v>0</v>
      </c>
      <c r="L442" s="76">
        <f>ROUND(E442*F442,2)</f>
        <v>274.12</v>
      </c>
      <c r="M442" s="76">
        <f>I442*G442</f>
        <v>0</v>
      </c>
      <c r="N442" s="76">
        <f>J442*G442</f>
        <v>349.76</v>
      </c>
      <c r="O442" s="76">
        <f>H442-N442</f>
        <v>0</v>
      </c>
      <c r="P442" s="90">
        <f t="shared" ref="P442:P471" si="125">N442/H442</f>
        <v>1</v>
      </c>
      <c r="Q442" s="51"/>
      <c r="T442" s="53">
        <v>68.53</v>
      </c>
    </row>
    <row r="443" spans="1:20" s="56" customFormat="1" ht="12" x14ac:dyDescent="0.2">
      <c r="A443" s="94">
        <v>89491</v>
      </c>
      <c r="B443" s="73" t="s">
        <v>772</v>
      </c>
      <c r="C443" s="74" t="s">
        <v>773</v>
      </c>
      <c r="D443" s="73" t="s">
        <v>102</v>
      </c>
      <c r="E443" s="75">
        <v>18</v>
      </c>
      <c r="F443" s="75">
        <f>ROUND(T443*$T$10,2)</f>
        <v>44.44</v>
      </c>
      <c r="G443" s="75">
        <f>ROUND(F443*(1+$U$1),2)</f>
        <v>56.7</v>
      </c>
      <c r="H443" s="76">
        <f>ROUND(E443*G443,2)</f>
        <v>1020.6</v>
      </c>
      <c r="I443" s="75"/>
      <c r="J443" s="75">
        <v>18</v>
      </c>
      <c r="K443" s="75">
        <f t="shared" si="113"/>
        <v>0</v>
      </c>
      <c r="L443" s="76">
        <f>ROUND(E443*F443,2)</f>
        <v>799.92</v>
      </c>
      <c r="M443" s="76">
        <f>I443*G443</f>
        <v>0</v>
      </c>
      <c r="N443" s="76">
        <f>J443*G443</f>
        <v>1020.6</v>
      </c>
      <c r="O443" s="76">
        <f>H443-N443</f>
        <v>0</v>
      </c>
      <c r="P443" s="90">
        <f t="shared" si="125"/>
        <v>1</v>
      </c>
      <c r="Q443" s="51"/>
      <c r="T443" s="53">
        <v>44.44</v>
      </c>
    </row>
    <row r="444" spans="1:20" s="56" customFormat="1" ht="12" x14ac:dyDescent="0.2">
      <c r="A444" s="72"/>
      <c r="B444" s="85">
        <v>44137</v>
      </c>
      <c r="C444" s="71" t="s">
        <v>774</v>
      </c>
      <c r="D444" s="72"/>
      <c r="E444" s="72"/>
      <c r="F444" s="75"/>
      <c r="G444" s="72"/>
      <c r="H444" s="76">
        <f>E444*G444</f>
        <v>0</v>
      </c>
      <c r="I444" s="75"/>
      <c r="J444" s="75">
        <v>0</v>
      </c>
      <c r="K444" s="75">
        <f t="shared" si="113"/>
        <v>0</v>
      </c>
      <c r="L444" s="76">
        <f>E444*F444</f>
        <v>0</v>
      </c>
      <c r="M444" s="76"/>
      <c r="N444" s="76"/>
      <c r="O444" s="76"/>
      <c r="P444" s="90"/>
      <c r="Q444" s="51"/>
      <c r="T444" s="52"/>
    </row>
    <row r="445" spans="1:20" s="56" customFormat="1" ht="12" x14ac:dyDescent="0.2">
      <c r="A445" s="94">
        <v>11716</v>
      </c>
      <c r="B445" s="73" t="s">
        <v>775</v>
      </c>
      <c r="C445" s="74" t="s">
        <v>776</v>
      </c>
      <c r="D445" s="73" t="s">
        <v>102</v>
      </c>
      <c r="E445" s="75">
        <v>6</v>
      </c>
      <c r="F445" s="75">
        <f>ROUND(T445*$T$10,2)</f>
        <v>10.38</v>
      </c>
      <c r="G445" s="75">
        <f>ROUND(F445*(1+$U$1),2)</f>
        <v>13.24</v>
      </c>
      <c r="H445" s="76">
        <f>ROUND(E445*G445,2)</f>
        <v>79.44</v>
      </c>
      <c r="I445" s="75"/>
      <c r="J445" s="75">
        <v>6</v>
      </c>
      <c r="K445" s="75">
        <f t="shared" si="113"/>
        <v>0</v>
      </c>
      <c r="L445" s="76">
        <f>ROUND(E445*F445,2)</f>
        <v>62.28</v>
      </c>
      <c r="M445" s="76">
        <f>I445*G445</f>
        <v>0</v>
      </c>
      <c r="N445" s="76">
        <f>J445*G445</f>
        <v>79.44</v>
      </c>
      <c r="O445" s="76">
        <f>H445-N445</f>
        <v>0</v>
      </c>
      <c r="P445" s="90">
        <f t="shared" si="125"/>
        <v>1</v>
      </c>
      <c r="Q445" s="51"/>
      <c r="T445" s="53">
        <v>10.38</v>
      </c>
    </row>
    <row r="446" spans="1:20" s="56" customFormat="1" ht="12" x14ac:dyDescent="0.2">
      <c r="A446" s="72"/>
      <c r="B446" s="85">
        <v>44138</v>
      </c>
      <c r="C446" s="71" t="s">
        <v>711</v>
      </c>
      <c r="D446" s="72"/>
      <c r="E446" s="72"/>
      <c r="F446" s="75"/>
      <c r="G446" s="72"/>
      <c r="H446" s="72"/>
      <c r="I446" s="72"/>
      <c r="J446" s="75">
        <v>0</v>
      </c>
      <c r="K446" s="75">
        <f t="shared" si="113"/>
        <v>0</v>
      </c>
      <c r="L446" s="72"/>
      <c r="M446" s="72"/>
      <c r="N446" s="72"/>
      <c r="O446" s="72"/>
      <c r="P446" s="90"/>
      <c r="Q446" s="52"/>
      <c r="T446" s="52"/>
    </row>
    <row r="447" spans="1:20" s="56" customFormat="1" ht="12" x14ac:dyDescent="0.2">
      <c r="A447" s="73" t="s">
        <v>308</v>
      </c>
      <c r="B447" s="73" t="s">
        <v>777</v>
      </c>
      <c r="C447" s="74" t="s">
        <v>778</v>
      </c>
      <c r="D447" s="73" t="s">
        <v>102</v>
      </c>
      <c r="E447" s="75">
        <v>13</v>
      </c>
      <c r="F447" s="75">
        <f t="shared" ref="F447:F457" si="126">ROUND(T447*$T$10,2)</f>
        <v>24.15</v>
      </c>
      <c r="G447" s="75">
        <f t="shared" ref="G447:G457" si="127">ROUND(F447*(1+$U$1),2)</f>
        <v>30.81</v>
      </c>
      <c r="H447" s="76">
        <f t="shared" ref="H447:H457" si="128">ROUND(E447*G447,2)</f>
        <v>400.53</v>
      </c>
      <c r="I447" s="75"/>
      <c r="J447" s="75">
        <v>13</v>
      </c>
      <c r="K447" s="75">
        <f t="shared" si="113"/>
        <v>0</v>
      </c>
      <c r="L447" s="76">
        <f t="shared" ref="L447:L457" si="129">ROUND(E447*F447,2)</f>
        <v>313.95</v>
      </c>
      <c r="M447" s="76">
        <f t="shared" ref="M447:M457" si="130">I447*G447</f>
        <v>0</v>
      </c>
      <c r="N447" s="76">
        <f t="shared" ref="N447:N457" si="131">J447*G447</f>
        <v>400.53</v>
      </c>
      <c r="O447" s="76">
        <f t="shared" ref="O447:O457" si="132">H447-N447</f>
        <v>0</v>
      </c>
      <c r="P447" s="90">
        <f t="shared" si="125"/>
        <v>1</v>
      </c>
      <c r="Q447" s="51"/>
      <c r="T447" s="53">
        <v>24.15</v>
      </c>
    </row>
    <row r="448" spans="1:20" s="56" customFormat="1" ht="12" x14ac:dyDescent="0.2">
      <c r="A448" s="73" t="s">
        <v>308</v>
      </c>
      <c r="B448" s="73" t="s">
        <v>779</v>
      </c>
      <c r="C448" s="74" t="s">
        <v>780</v>
      </c>
      <c r="D448" s="73" t="s">
        <v>102</v>
      </c>
      <c r="E448" s="75">
        <v>2</v>
      </c>
      <c r="F448" s="75">
        <f t="shared" si="126"/>
        <v>11.66</v>
      </c>
      <c r="G448" s="75">
        <f t="shared" si="127"/>
        <v>14.88</v>
      </c>
      <c r="H448" s="76">
        <f t="shared" si="128"/>
        <v>29.76</v>
      </c>
      <c r="I448" s="75"/>
      <c r="J448" s="75">
        <v>2</v>
      </c>
      <c r="K448" s="75">
        <f t="shared" ref="K448:K511" si="133">E448-J448</f>
        <v>0</v>
      </c>
      <c r="L448" s="76">
        <f t="shared" si="129"/>
        <v>23.32</v>
      </c>
      <c r="M448" s="76">
        <f t="shared" si="130"/>
        <v>0</v>
      </c>
      <c r="N448" s="76">
        <f t="shared" si="131"/>
        <v>29.76</v>
      </c>
      <c r="O448" s="76">
        <f t="shared" si="132"/>
        <v>0</v>
      </c>
      <c r="P448" s="90">
        <f t="shared" si="125"/>
        <v>1</v>
      </c>
      <c r="Q448" s="51"/>
      <c r="T448" s="53">
        <v>11.66</v>
      </c>
    </row>
    <row r="449" spans="1:20" s="56" customFormat="1" ht="24" x14ac:dyDescent="0.2">
      <c r="A449" s="73" t="s">
        <v>308</v>
      </c>
      <c r="B449" s="73" t="s">
        <v>781</v>
      </c>
      <c r="C449" s="74" t="s">
        <v>782</v>
      </c>
      <c r="D449" s="73" t="s">
        <v>102</v>
      </c>
      <c r="E449" s="75">
        <v>5</v>
      </c>
      <c r="F449" s="75">
        <f t="shared" si="126"/>
        <v>16.05</v>
      </c>
      <c r="G449" s="75">
        <f t="shared" si="127"/>
        <v>20.48</v>
      </c>
      <c r="H449" s="76">
        <f t="shared" si="128"/>
        <v>102.4</v>
      </c>
      <c r="I449" s="75"/>
      <c r="J449" s="75">
        <v>5</v>
      </c>
      <c r="K449" s="75">
        <f t="shared" si="133"/>
        <v>0</v>
      </c>
      <c r="L449" s="76">
        <f t="shared" si="129"/>
        <v>80.25</v>
      </c>
      <c r="M449" s="76">
        <f t="shared" si="130"/>
        <v>0</v>
      </c>
      <c r="N449" s="76">
        <f t="shared" si="131"/>
        <v>102.4</v>
      </c>
      <c r="O449" s="76">
        <f t="shared" si="132"/>
        <v>0</v>
      </c>
      <c r="P449" s="90">
        <f t="shared" si="125"/>
        <v>1</v>
      </c>
      <c r="Q449" s="51"/>
      <c r="T449" s="53">
        <v>16.05</v>
      </c>
    </row>
    <row r="450" spans="1:20" s="56" customFormat="1" ht="24" x14ac:dyDescent="0.2">
      <c r="A450" s="73" t="s">
        <v>308</v>
      </c>
      <c r="B450" s="73" t="s">
        <v>783</v>
      </c>
      <c r="C450" s="74" t="s">
        <v>784</v>
      </c>
      <c r="D450" s="73" t="s">
        <v>102</v>
      </c>
      <c r="E450" s="75">
        <v>4</v>
      </c>
      <c r="F450" s="75">
        <f t="shared" si="126"/>
        <v>9.69</v>
      </c>
      <c r="G450" s="75">
        <f t="shared" si="127"/>
        <v>12.36</v>
      </c>
      <c r="H450" s="76">
        <f t="shared" si="128"/>
        <v>49.44</v>
      </c>
      <c r="I450" s="75"/>
      <c r="J450" s="75">
        <v>4</v>
      </c>
      <c r="K450" s="75">
        <f t="shared" si="133"/>
        <v>0</v>
      </c>
      <c r="L450" s="76">
        <f t="shared" si="129"/>
        <v>38.76</v>
      </c>
      <c r="M450" s="76">
        <f t="shared" si="130"/>
        <v>0</v>
      </c>
      <c r="N450" s="76">
        <f t="shared" si="131"/>
        <v>49.44</v>
      </c>
      <c r="O450" s="76">
        <f t="shared" si="132"/>
        <v>0</v>
      </c>
      <c r="P450" s="90">
        <f t="shared" si="125"/>
        <v>1</v>
      </c>
      <c r="Q450" s="51"/>
      <c r="T450" s="53">
        <v>9.69</v>
      </c>
    </row>
    <row r="451" spans="1:20" s="56" customFormat="1" ht="24" x14ac:dyDescent="0.2">
      <c r="A451" s="73" t="s">
        <v>308</v>
      </c>
      <c r="B451" s="73" t="s">
        <v>785</v>
      </c>
      <c r="C451" s="74" t="s">
        <v>786</v>
      </c>
      <c r="D451" s="73" t="s">
        <v>102</v>
      </c>
      <c r="E451" s="75">
        <v>8</v>
      </c>
      <c r="F451" s="75">
        <f t="shared" si="126"/>
        <v>128.66</v>
      </c>
      <c r="G451" s="75">
        <f t="shared" si="127"/>
        <v>164.16</v>
      </c>
      <c r="H451" s="76">
        <f t="shared" si="128"/>
        <v>1313.28</v>
      </c>
      <c r="I451" s="75">
        <v>8</v>
      </c>
      <c r="J451" s="75">
        <f>I451</f>
        <v>8</v>
      </c>
      <c r="K451" s="75">
        <f t="shared" si="133"/>
        <v>0</v>
      </c>
      <c r="L451" s="76">
        <f t="shared" si="129"/>
        <v>1029.28</v>
      </c>
      <c r="M451" s="76">
        <f t="shared" si="130"/>
        <v>1313.28</v>
      </c>
      <c r="N451" s="76">
        <f t="shared" si="131"/>
        <v>1313.28</v>
      </c>
      <c r="O451" s="76">
        <f t="shared" si="132"/>
        <v>0</v>
      </c>
      <c r="P451" s="90">
        <f t="shared" si="125"/>
        <v>1</v>
      </c>
      <c r="Q451" s="51"/>
      <c r="T451" s="53">
        <v>128.66</v>
      </c>
    </row>
    <row r="452" spans="1:20" s="56" customFormat="1" ht="24" x14ac:dyDescent="0.2">
      <c r="A452" s="73" t="s">
        <v>308</v>
      </c>
      <c r="B452" s="73" t="s">
        <v>787</v>
      </c>
      <c r="C452" s="74" t="s">
        <v>788</v>
      </c>
      <c r="D452" s="73" t="s">
        <v>102</v>
      </c>
      <c r="E452" s="75">
        <v>40</v>
      </c>
      <c r="F452" s="75">
        <f t="shared" si="126"/>
        <v>61.54</v>
      </c>
      <c r="G452" s="75">
        <f t="shared" si="127"/>
        <v>78.52</v>
      </c>
      <c r="H452" s="76">
        <f t="shared" si="128"/>
        <v>3140.8</v>
      </c>
      <c r="I452" s="75"/>
      <c r="J452" s="75">
        <v>40</v>
      </c>
      <c r="K452" s="75">
        <f t="shared" si="133"/>
        <v>0</v>
      </c>
      <c r="L452" s="76">
        <f t="shared" si="129"/>
        <v>2461.6</v>
      </c>
      <c r="M452" s="76">
        <f t="shared" si="130"/>
        <v>0</v>
      </c>
      <c r="N452" s="76">
        <f t="shared" si="131"/>
        <v>3140.7999999999997</v>
      </c>
      <c r="O452" s="76">
        <f t="shared" si="132"/>
        <v>0</v>
      </c>
      <c r="P452" s="90">
        <f t="shared" si="125"/>
        <v>0.99999999999999989</v>
      </c>
      <c r="Q452" s="51"/>
      <c r="T452" s="53">
        <v>61.54</v>
      </c>
    </row>
    <row r="453" spans="1:20" s="56" customFormat="1" ht="12" x14ac:dyDescent="0.2">
      <c r="A453" s="73" t="s">
        <v>308</v>
      </c>
      <c r="B453" s="73" t="s">
        <v>789</v>
      </c>
      <c r="C453" s="74" t="s">
        <v>790</v>
      </c>
      <c r="D453" s="73" t="s">
        <v>102</v>
      </c>
      <c r="E453" s="75">
        <v>1</v>
      </c>
      <c r="F453" s="75">
        <f t="shared" si="126"/>
        <v>23.8</v>
      </c>
      <c r="G453" s="75">
        <f t="shared" si="127"/>
        <v>30.37</v>
      </c>
      <c r="H453" s="76">
        <f t="shared" si="128"/>
        <v>30.37</v>
      </c>
      <c r="I453" s="75"/>
      <c r="J453" s="75">
        <v>1</v>
      </c>
      <c r="K453" s="75">
        <f t="shared" si="133"/>
        <v>0</v>
      </c>
      <c r="L453" s="76">
        <f t="shared" si="129"/>
        <v>23.8</v>
      </c>
      <c r="M453" s="76">
        <f t="shared" si="130"/>
        <v>0</v>
      </c>
      <c r="N453" s="76">
        <f t="shared" si="131"/>
        <v>30.37</v>
      </c>
      <c r="O453" s="76">
        <f t="shared" si="132"/>
        <v>0</v>
      </c>
      <c r="P453" s="90">
        <f t="shared" si="125"/>
        <v>1</v>
      </c>
      <c r="Q453" s="51"/>
      <c r="T453" s="53">
        <v>23.8</v>
      </c>
    </row>
    <row r="454" spans="1:20" s="56" customFormat="1" ht="12" x14ac:dyDescent="0.2">
      <c r="A454" s="73" t="s">
        <v>308</v>
      </c>
      <c r="B454" s="73" t="s">
        <v>791</v>
      </c>
      <c r="C454" s="74" t="s">
        <v>792</v>
      </c>
      <c r="D454" s="73" t="s">
        <v>102</v>
      </c>
      <c r="E454" s="75">
        <v>4</v>
      </c>
      <c r="F454" s="75">
        <f t="shared" si="126"/>
        <v>39.9</v>
      </c>
      <c r="G454" s="75">
        <f t="shared" si="127"/>
        <v>50.91</v>
      </c>
      <c r="H454" s="76">
        <f t="shared" si="128"/>
        <v>203.64</v>
      </c>
      <c r="I454" s="75"/>
      <c r="J454" s="75">
        <v>4</v>
      </c>
      <c r="K454" s="75">
        <f t="shared" si="133"/>
        <v>0</v>
      </c>
      <c r="L454" s="76">
        <f t="shared" si="129"/>
        <v>159.6</v>
      </c>
      <c r="M454" s="76">
        <f t="shared" si="130"/>
        <v>0</v>
      </c>
      <c r="N454" s="76">
        <f t="shared" si="131"/>
        <v>203.64</v>
      </c>
      <c r="O454" s="76">
        <f t="shared" si="132"/>
        <v>0</v>
      </c>
      <c r="P454" s="90">
        <f t="shared" si="125"/>
        <v>1</v>
      </c>
      <c r="Q454" s="51"/>
      <c r="T454" s="53">
        <v>39.9</v>
      </c>
    </row>
    <row r="455" spans="1:20" s="56" customFormat="1" ht="12" x14ac:dyDescent="0.2">
      <c r="A455" s="73" t="s">
        <v>308</v>
      </c>
      <c r="B455" s="73" t="s">
        <v>793</v>
      </c>
      <c r="C455" s="74" t="s">
        <v>794</v>
      </c>
      <c r="D455" s="73" t="s">
        <v>102</v>
      </c>
      <c r="E455" s="75">
        <v>4</v>
      </c>
      <c r="F455" s="75">
        <f t="shared" si="126"/>
        <v>12.92</v>
      </c>
      <c r="G455" s="75">
        <f t="shared" si="127"/>
        <v>16.48</v>
      </c>
      <c r="H455" s="76">
        <f t="shared" si="128"/>
        <v>65.92</v>
      </c>
      <c r="I455" s="75"/>
      <c r="J455" s="75">
        <v>4</v>
      </c>
      <c r="K455" s="75">
        <f t="shared" si="133"/>
        <v>0</v>
      </c>
      <c r="L455" s="76">
        <f t="shared" si="129"/>
        <v>51.68</v>
      </c>
      <c r="M455" s="76">
        <f t="shared" si="130"/>
        <v>0</v>
      </c>
      <c r="N455" s="76">
        <f t="shared" si="131"/>
        <v>65.92</v>
      </c>
      <c r="O455" s="76">
        <f t="shared" si="132"/>
        <v>0</v>
      </c>
      <c r="P455" s="90">
        <f t="shared" si="125"/>
        <v>1</v>
      </c>
      <c r="Q455" s="51"/>
      <c r="T455" s="53">
        <v>12.92</v>
      </c>
    </row>
    <row r="456" spans="1:20" s="56" customFormat="1" ht="12" x14ac:dyDescent="0.2">
      <c r="A456" s="73" t="s">
        <v>308</v>
      </c>
      <c r="B456" s="73" t="s">
        <v>795</v>
      </c>
      <c r="C456" s="74" t="s">
        <v>796</v>
      </c>
      <c r="D456" s="73" t="s">
        <v>102</v>
      </c>
      <c r="E456" s="75">
        <v>18</v>
      </c>
      <c r="F456" s="75">
        <f t="shared" si="126"/>
        <v>3.73</v>
      </c>
      <c r="G456" s="75">
        <f t="shared" si="127"/>
        <v>4.76</v>
      </c>
      <c r="H456" s="76">
        <f t="shared" si="128"/>
        <v>85.68</v>
      </c>
      <c r="I456" s="75"/>
      <c r="J456" s="75">
        <v>18</v>
      </c>
      <c r="K456" s="75">
        <f t="shared" si="133"/>
        <v>0</v>
      </c>
      <c r="L456" s="76">
        <f t="shared" si="129"/>
        <v>67.14</v>
      </c>
      <c r="M456" s="76">
        <f t="shared" si="130"/>
        <v>0</v>
      </c>
      <c r="N456" s="76">
        <f t="shared" si="131"/>
        <v>85.679999999999993</v>
      </c>
      <c r="O456" s="76">
        <f t="shared" si="132"/>
        <v>0</v>
      </c>
      <c r="P456" s="90">
        <f t="shared" si="125"/>
        <v>0.99999999999999989</v>
      </c>
      <c r="Q456" s="51"/>
      <c r="T456" s="53">
        <v>3.73</v>
      </c>
    </row>
    <row r="457" spans="1:20" s="56" customFormat="1" ht="12" x14ac:dyDescent="0.2">
      <c r="A457" s="73" t="s">
        <v>308</v>
      </c>
      <c r="B457" s="73" t="s">
        <v>797</v>
      </c>
      <c r="C457" s="74" t="s">
        <v>798</v>
      </c>
      <c r="D457" s="73" t="s">
        <v>102</v>
      </c>
      <c r="E457" s="75">
        <v>6</v>
      </c>
      <c r="F457" s="75">
        <f t="shared" si="126"/>
        <v>3.01</v>
      </c>
      <c r="G457" s="75">
        <f t="shared" si="127"/>
        <v>3.84</v>
      </c>
      <c r="H457" s="76">
        <f t="shared" si="128"/>
        <v>23.04</v>
      </c>
      <c r="I457" s="75"/>
      <c r="J457" s="75">
        <v>6</v>
      </c>
      <c r="K457" s="75">
        <f t="shared" si="133"/>
        <v>0</v>
      </c>
      <c r="L457" s="76">
        <f t="shared" si="129"/>
        <v>18.059999999999999</v>
      </c>
      <c r="M457" s="76">
        <f t="shared" si="130"/>
        <v>0</v>
      </c>
      <c r="N457" s="76">
        <f t="shared" si="131"/>
        <v>23.04</v>
      </c>
      <c r="O457" s="76">
        <f t="shared" si="132"/>
        <v>0</v>
      </c>
      <c r="P457" s="90">
        <f t="shared" si="125"/>
        <v>1</v>
      </c>
      <c r="Q457" s="51"/>
      <c r="T457" s="53">
        <v>3.01</v>
      </c>
    </row>
    <row r="458" spans="1:20" s="56" customFormat="1" ht="12" x14ac:dyDescent="0.2">
      <c r="A458" s="72"/>
      <c r="B458" s="85">
        <v>44139</v>
      </c>
      <c r="C458" s="71" t="s">
        <v>799</v>
      </c>
      <c r="D458" s="72"/>
      <c r="E458" s="72"/>
      <c r="F458" s="75"/>
      <c r="G458" s="72"/>
      <c r="H458" s="72"/>
      <c r="I458" s="72"/>
      <c r="J458" s="75">
        <v>0</v>
      </c>
      <c r="K458" s="75">
        <f t="shared" si="133"/>
        <v>0</v>
      </c>
      <c r="L458" s="72"/>
      <c r="M458" s="72"/>
      <c r="N458" s="72"/>
      <c r="O458" s="72"/>
      <c r="P458" s="90"/>
      <c r="Q458" s="52"/>
      <c r="T458" s="52"/>
    </row>
    <row r="459" spans="1:20" s="56" customFormat="1" ht="12" x14ac:dyDescent="0.2">
      <c r="A459" s="94">
        <v>98108</v>
      </c>
      <c r="B459" s="73" t="s">
        <v>800</v>
      </c>
      <c r="C459" s="74" t="s">
        <v>801</v>
      </c>
      <c r="D459" s="73" t="s">
        <v>102</v>
      </c>
      <c r="E459" s="75">
        <v>1</v>
      </c>
      <c r="F459" s="75">
        <f>ROUND(T459*$T$10,2)</f>
        <v>347.61</v>
      </c>
      <c r="G459" s="75">
        <f>ROUND(F459*(1+$U$1),2)</f>
        <v>443.52</v>
      </c>
      <c r="H459" s="76">
        <f>ROUND(E459*G459,2)</f>
        <v>443.52</v>
      </c>
      <c r="I459" s="75"/>
      <c r="J459" s="75">
        <v>1</v>
      </c>
      <c r="K459" s="75">
        <f t="shared" si="133"/>
        <v>0</v>
      </c>
      <c r="L459" s="76">
        <f>ROUND(E459*F459,2)</f>
        <v>347.61</v>
      </c>
      <c r="M459" s="76">
        <f>I459*G459</f>
        <v>0</v>
      </c>
      <c r="N459" s="76">
        <f>J459*G459</f>
        <v>443.52</v>
      </c>
      <c r="O459" s="76">
        <f>H459-N459</f>
        <v>0</v>
      </c>
      <c r="P459" s="90">
        <f t="shared" si="125"/>
        <v>1</v>
      </c>
      <c r="Q459" s="51"/>
      <c r="T459" s="53">
        <v>347.61</v>
      </c>
    </row>
    <row r="460" spans="1:20" s="56" customFormat="1" ht="12" x14ac:dyDescent="0.2">
      <c r="A460" s="94">
        <v>98106</v>
      </c>
      <c r="B460" s="73" t="s">
        <v>802</v>
      </c>
      <c r="C460" s="74" t="s">
        <v>803</v>
      </c>
      <c r="D460" s="73" t="s">
        <v>102</v>
      </c>
      <c r="E460" s="75">
        <v>1</v>
      </c>
      <c r="F460" s="75">
        <f>ROUND(T460*$T$10,2)</f>
        <v>786.65</v>
      </c>
      <c r="G460" s="75">
        <f>ROUND(F460*(1+$U$1),2)</f>
        <v>1003.69</v>
      </c>
      <c r="H460" s="76">
        <f>ROUND(E460*G460,2)</f>
        <v>1003.69</v>
      </c>
      <c r="I460" s="75"/>
      <c r="J460" s="75">
        <v>1</v>
      </c>
      <c r="K460" s="75">
        <f t="shared" si="133"/>
        <v>0</v>
      </c>
      <c r="L460" s="76">
        <f>ROUND(E460*F460,2)</f>
        <v>786.65</v>
      </c>
      <c r="M460" s="76">
        <f>I460*G460</f>
        <v>0</v>
      </c>
      <c r="N460" s="76">
        <f>J460*G460</f>
        <v>1003.69</v>
      </c>
      <c r="O460" s="76">
        <f>H460-N460</f>
        <v>0</v>
      </c>
      <c r="P460" s="90">
        <f t="shared" si="125"/>
        <v>1</v>
      </c>
      <c r="Q460" s="51"/>
      <c r="T460" s="53">
        <v>786.65</v>
      </c>
    </row>
    <row r="461" spans="1:20" s="56" customFormat="1" ht="24" x14ac:dyDescent="0.2">
      <c r="A461" s="73" t="s">
        <v>308</v>
      </c>
      <c r="B461" s="73" t="s">
        <v>804</v>
      </c>
      <c r="C461" s="74" t="s">
        <v>805</v>
      </c>
      <c r="D461" s="73" t="s">
        <v>102</v>
      </c>
      <c r="E461" s="75">
        <v>2</v>
      </c>
      <c r="F461" s="75">
        <f>ROUND(T461*$T$10,2)</f>
        <v>205.99</v>
      </c>
      <c r="G461" s="75">
        <f>ROUND(F461*(1+$U$1),2)</f>
        <v>262.82</v>
      </c>
      <c r="H461" s="76">
        <f>ROUND(E461*G461,2)</f>
        <v>525.64</v>
      </c>
      <c r="I461" s="75"/>
      <c r="J461" s="75">
        <v>2</v>
      </c>
      <c r="K461" s="75">
        <f t="shared" si="133"/>
        <v>0</v>
      </c>
      <c r="L461" s="76">
        <f>ROUND(E461*F461,2)</f>
        <v>411.98</v>
      </c>
      <c r="M461" s="76">
        <f>I461*G461</f>
        <v>0</v>
      </c>
      <c r="N461" s="76">
        <f>J461*G461</f>
        <v>525.64</v>
      </c>
      <c r="O461" s="76">
        <f>H461-N461</f>
        <v>0</v>
      </c>
      <c r="P461" s="90">
        <f t="shared" si="125"/>
        <v>1</v>
      </c>
      <c r="Q461" s="51"/>
      <c r="T461" s="53">
        <v>205.99</v>
      </c>
    </row>
    <row r="462" spans="1:20" s="56" customFormat="1" ht="12" x14ac:dyDescent="0.2">
      <c r="A462" s="72"/>
      <c r="B462" s="85">
        <v>44140</v>
      </c>
      <c r="C462" s="71" t="s">
        <v>806</v>
      </c>
      <c r="D462" s="72"/>
      <c r="E462" s="72"/>
      <c r="F462" s="75"/>
      <c r="G462" s="72"/>
      <c r="H462" s="72"/>
      <c r="I462" s="72"/>
      <c r="J462" s="75">
        <v>0</v>
      </c>
      <c r="K462" s="75">
        <f t="shared" si="133"/>
        <v>0</v>
      </c>
      <c r="L462" s="72"/>
      <c r="M462" s="72"/>
      <c r="N462" s="72"/>
      <c r="O462" s="72"/>
      <c r="P462" s="90"/>
      <c r="Q462" s="52"/>
      <c r="T462" s="52"/>
    </row>
    <row r="463" spans="1:20" s="56" customFormat="1" ht="12" x14ac:dyDescent="0.2">
      <c r="A463" s="94">
        <v>39320</v>
      </c>
      <c r="B463" s="73" t="s">
        <v>807</v>
      </c>
      <c r="C463" s="74" t="s">
        <v>808</v>
      </c>
      <c r="D463" s="73" t="s">
        <v>102</v>
      </c>
      <c r="E463" s="75">
        <v>9</v>
      </c>
      <c r="F463" s="75">
        <f>ROUND(T463*$T$10,2)</f>
        <v>5.18</v>
      </c>
      <c r="G463" s="75">
        <f>ROUND(F463*(1+$U$1),2)</f>
        <v>6.61</v>
      </c>
      <c r="H463" s="76">
        <f>ROUND(E463*G463,2)</f>
        <v>59.49</v>
      </c>
      <c r="I463" s="75"/>
      <c r="J463" s="75">
        <v>9</v>
      </c>
      <c r="K463" s="75">
        <f t="shared" si="133"/>
        <v>0</v>
      </c>
      <c r="L463" s="76">
        <f>ROUND(E463*F463,2)</f>
        <v>46.62</v>
      </c>
      <c r="M463" s="76">
        <f>I463*G463</f>
        <v>0</v>
      </c>
      <c r="N463" s="76">
        <f>J463*G463</f>
        <v>59.49</v>
      </c>
      <c r="O463" s="76">
        <f>H463-N463</f>
        <v>0</v>
      </c>
      <c r="P463" s="90">
        <f t="shared" si="125"/>
        <v>1</v>
      </c>
      <c r="Q463" s="51"/>
      <c r="T463" s="53">
        <v>5.18</v>
      </c>
    </row>
    <row r="464" spans="1:20" s="56" customFormat="1" ht="12" x14ac:dyDescent="0.2">
      <c r="A464" s="94">
        <v>39319</v>
      </c>
      <c r="B464" s="73" t="s">
        <v>809</v>
      </c>
      <c r="C464" s="74" t="s">
        <v>810</v>
      </c>
      <c r="D464" s="73" t="s">
        <v>102</v>
      </c>
      <c r="E464" s="75">
        <v>6</v>
      </c>
      <c r="F464" s="75">
        <f>ROUND(T464*$T$10,2)</f>
        <v>4.34</v>
      </c>
      <c r="G464" s="75">
        <f>ROUND(F464*(1+$U$1),2)</f>
        <v>5.54</v>
      </c>
      <c r="H464" s="76">
        <f>ROUND(E464*G464,2)</f>
        <v>33.24</v>
      </c>
      <c r="I464" s="75"/>
      <c r="J464" s="75">
        <v>6</v>
      </c>
      <c r="K464" s="75">
        <f t="shared" si="133"/>
        <v>0</v>
      </c>
      <c r="L464" s="76">
        <f>ROUND(E464*F464,2)</f>
        <v>26.04</v>
      </c>
      <c r="M464" s="76">
        <f>I464*G464</f>
        <v>0</v>
      </c>
      <c r="N464" s="76">
        <f>J464*G464</f>
        <v>33.24</v>
      </c>
      <c r="O464" s="76">
        <f>H464-N464</f>
        <v>0</v>
      </c>
      <c r="P464" s="90">
        <f t="shared" si="125"/>
        <v>1</v>
      </c>
      <c r="Q464" s="51"/>
      <c r="T464" s="53">
        <v>4.34</v>
      </c>
    </row>
    <row r="465" spans="1:20" s="56" customFormat="1" ht="12" x14ac:dyDescent="0.2">
      <c r="A465" s="72"/>
      <c r="B465" s="85">
        <v>44141</v>
      </c>
      <c r="C465" s="71" t="s">
        <v>811</v>
      </c>
      <c r="D465" s="72"/>
      <c r="E465" s="72"/>
      <c r="F465" s="75"/>
      <c r="G465" s="72"/>
      <c r="H465" s="72"/>
      <c r="I465" s="72"/>
      <c r="J465" s="75">
        <v>0</v>
      </c>
      <c r="K465" s="75">
        <f t="shared" si="133"/>
        <v>0</v>
      </c>
      <c r="L465" s="72"/>
      <c r="M465" s="72"/>
      <c r="N465" s="72"/>
      <c r="O465" s="72"/>
      <c r="P465" s="90"/>
      <c r="Q465" s="52"/>
      <c r="T465" s="52"/>
    </row>
    <row r="466" spans="1:20" s="56" customFormat="1" ht="12" x14ac:dyDescent="0.2">
      <c r="A466" s="73" t="s">
        <v>78</v>
      </c>
      <c r="B466" s="73" t="s">
        <v>812</v>
      </c>
      <c r="C466" s="74" t="s">
        <v>813</v>
      </c>
      <c r="D466" s="73" t="s">
        <v>102</v>
      </c>
      <c r="E466" s="75">
        <v>11</v>
      </c>
      <c r="F466" s="75">
        <f>ROUND(T466*$T$10,2)</f>
        <v>376.56</v>
      </c>
      <c r="G466" s="75">
        <f>ROUND(F466*(1+$U$1),2)</f>
        <v>480.45</v>
      </c>
      <c r="H466" s="76">
        <f>ROUND(E466*G466,2)</f>
        <v>5284.95</v>
      </c>
      <c r="I466" s="75"/>
      <c r="J466" s="75">
        <v>11</v>
      </c>
      <c r="K466" s="75">
        <f t="shared" si="133"/>
        <v>0</v>
      </c>
      <c r="L466" s="76">
        <f>ROUND(E466*F466,2)</f>
        <v>4142.16</v>
      </c>
      <c r="M466" s="76">
        <f>I466*G466</f>
        <v>0</v>
      </c>
      <c r="N466" s="76">
        <f>J466*G466</f>
        <v>5284.95</v>
      </c>
      <c r="O466" s="76">
        <f>H466-N466</f>
        <v>0</v>
      </c>
      <c r="P466" s="90">
        <f t="shared" si="125"/>
        <v>1</v>
      </c>
      <c r="Q466" s="51"/>
      <c r="T466" s="53">
        <v>376.56</v>
      </c>
    </row>
    <row r="467" spans="1:20" s="56" customFormat="1" ht="24" x14ac:dyDescent="0.2">
      <c r="A467" s="73" t="s">
        <v>308</v>
      </c>
      <c r="B467" s="73" t="s">
        <v>814</v>
      </c>
      <c r="C467" s="74" t="s">
        <v>815</v>
      </c>
      <c r="D467" s="73" t="s">
        <v>102</v>
      </c>
      <c r="E467" s="75">
        <v>13</v>
      </c>
      <c r="F467" s="75">
        <f>ROUND(T467*$T$10,2)</f>
        <v>205.99</v>
      </c>
      <c r="G467" s="75">
        <f>ROUND(F467*(1+$U$1),2)</f>
        <v>262.82</v>
      </c>
      <c r="H467" s="76">
        <f>ROUND(E467*G467,2)</f>
        <v>3416.66</v>
      </c>
      <c r="I467" s="75"/>
      <c r="J467" s="75">
        <v>13</v>
      </c>
      <c r="K467" s="75">
        <f t="shared" si="133"/>
        <v>0</v>
      </c>
      <c r="L467" s="76">
        <f>ROUND(E467*F467,2)</f>
        <v>2677.87</v>
      </c>
      <c r="M467" s="76">
        <f>I467*G467</f>
        <v>0</v>
      </c>
      <c r="N467" s="76">
        <f>J467*G467</f>
        <v>3416.66</v>
      </c>
      <c r="O467" s="76">
        <f>H467-N467</f>
        <v>0</v>
      </c>
      <c r="P467" s="90">
        <f t="shared" si="125"/>
        <v>1</v>
      </c>
      <c r="Q467" s="51"/>
      <c r="T467" s="53">
        <v>205.99</v>
      </c>
    </row>
    <row r="468" spans="1:20" s="56" customFormat="1" ht="12" x14ac:dyDescent="0.2">
      <c r="A468" s="73" t="s">
        <v>78</v>
      </c>
      <c r="B468" s="73" t="s">
        <v>816</v>
      </c>
      <c r="C468" s="74" t="s">
        <v>817</v>
      </c>
      <c r="D468" s="73" t="s">
        <v>102</v>
      </c>
      <c r="E468" s="75">
        <v>2</v>
      </c>
      <c r="F468" s="75">
        <f>ROUND(T468*$T$10,2)</f>
        <v>472.96</v>
      </c>
      <c r="G468" s="75">
        <f>ROUND(F468*(1+$U$1),2)</f>
        <v>603.45000000000005</v>
      </c>
      <c r="H468" s="76">
        <f>ROUND(E468*G468,2)</f>
        <v>1206.9000000000001</v>
      </c>
      <c r="I468" s="75"/>
      <c r="J468" s="75">
        <v>2</v>
      </c>
      <c r="K468" s="75">
        <f t="shared" si="133"/>
        <v>0</v>
      </c>
      <c r="L468" s="76">
        <f>ROUND(E468*F468,2)</f>
        <v>945.92</v>
      </c>
      <c r="M468" s="76">
        <f>I468*G468</f>
        <v>0</v>
      </c>
      <c r="N468" s="76">
        <f>J468*G468</f>
        <v>1206.9000000000001</v>
      </c>
      <c r="O468" s="76">
        <f>H468-N468</f>
        <v>0</v>
      </c>
      <c r="P468" s="90">
        <f t="shared" si="125"/>
        <v>1</v>
      </c>
      <c r="Q468" s="51"/>
      <c r="T468" s="53">
        <v>472.96</v>
      </c>
    </row>
    <row r="469" spans="1:20" s="56" customFormat="1" ht="12" x14ac:dyDescent="0.2">
      <c r="A469" s="72"/>
      <c r="B469" s="85">
        <v>44142</v>
      </c>
      <c r="C469" s="71" t="s">
        <v>703</v>
      </c>
      <c r="D469" s="72"/>
      <c r="E469" s="72"/>
      <c r="F469" s="75"/>
      <c r="G469" s="72"/>
      <c r="H469" s="72"/>
      <c r="I469" s="72"/>
      <c r="J469" s="75">
        <v>0</v>
      </c>
      <c r="K469" s="75">
        <f t="shared" si="133"/>
        <v>0</v>
      </c>
      <c r="L469" s="72"/>
      <c r="M469" s="72"/>
      <c r="N469" s="72"/>
      <c r="O469" s="72"/>
      <c r="P469" s="90"/>
      <c r="Q469" s="52"/>
      <c r="T469" s="52"/>
    </row>
    <row r="470" spans="1:20" s="56" customFormat="1" ht="24" x14ac:dyDescent="0.2">
      <c r="A470" s="73" t="s">
        <v>818</v>
      </c>
      <c r="B470" s="73" t="s">
        <v>819</v>
      </c>
      <c r="C470" s="74" t="s">
        <v>820</v>
      </c>
      <c r="D470" s="73" t="s">
        <v>102</v>
      </c>
      <c r="E470" s="75">
        <v>1</v>
      </c>
      <c r="F470" s="75">
        <f>ROUND(T470*$T$10,2)</f>
        <v>3604.47</v>
      </c>
      <c r="G470" s="75">
        <f>ROUND(F470*(1+$U$1),2)</f>
        <v>4598.9399999999996</v>
      </c>
      <c r="H470" s="76">
        <f>ROUND(E470*G470,2)</f>
        <v>4598.9399999999996</v>
      </c>
      <c r="I470" s="75"/>
      <c r="J470" s="75">
        <v>1</v>
      </c>
      <c r="K470" s="75">
        <f t="shared" si="133"/>
        <v>0</v>
      </c>
      <c r="L470" s="76">
        <f>ROUND(E470*F470,2)</f>
        <v>3604.47</v>
      </c>
      <c r="M470" s="76">
        <f>I470*G470</f>
        <v>0</v>
      </c>
      <c r="N470" s="76">
        <f>J470*G470</f>
        <v>4598.9399999999996</v>
      </c>
      <c r="O470" s="76">
        <f>H470-N470</f>
        <v>0</v>
      </c>
      <c r="P470" s="90">
        <f t="shared" si="125"/>
        <v>1</v>
      </c>
      <c r="Q470" s="51"/>
      <c r="T470" s="51">
        <v>3604.47</v>
      </c>
    </row>
    <row r="471" spans="1:20" s="56" customFormat="1" ht="24" x14ac:dyDescent="0.2">
      <c r="A471" s="73" t="s">
        <v>308</v>
      </c>
      <c r="B471" s="73" t="s">
        <v>821</v>
      </c>
      <c r="C471" s="74" t="s">
        <v>822</v>
      </c>
      <c r="D471" s="73" t="s">
        <v>102</v>
      </c>
      <c r="E471" s="75">
        <v>1</v>
      </c>
      <c r="F471" s="75">
        <f>ROUND(T471*$T$10,2)</f>
        <v>308.99</v>
      </c>
      <c r="G471" s="75">
        <f>ROUND(F471*(1+$U$1),2)</f>
        <v>394.24</v>
      </c>
      <c r="H471" s="76">
        <f>ROUND(E471*G471,2)</f>
        <v>394.24</v>
      </c>
      <c r="I471" s="75"/>
      <c r="J471" s="75">
        <v>1</v>
      </c>
      <c r="K471" s="75">
        <f t="shared" si="133"/>
        <v>0</v>
      </c>
      <c r="L471" s="76">
        <f>ROUND(E471*F471,2)</f>
        <v>308.99</v>
      </c>
      <c r="M471" s="76">
        <f>I471*G471</f>
        <v>0</v>
      </c>
      <c r="N471" s="76">
        <f>J471*G471</f>
        <v>394.24</v>
      </c>
      <c r="O471" s="76">
        <f>H471-N471</f>
        <v>0</v>
      </c>
      <c r="P471" s="90">
        <f t="shared" si="125"/>
        <v>1</v>
      </c>
      <c r="Q471" s="51"/>
      <c r="T471" s="53">
        <v>308.99</v>
      </c>
    </row>
    <row r="472" spans="1:20" s="56" customFormat="1" ht="26.25" customHeight="1" x14ac:dyDescent="0.2">
      <c r="A472" s="73"/>
      <c r="B472" s="73"/>
      <c r="C472" s="74"/>
      <c r="D472" s="73"/>
      <c r="E472" s="75"/>
      <c r="F472" s="75"/>
      <c r="G472" s="77" t="s">
        <v>1378</v>
      </c>
      <c r="H472" s="78">
        <f>SUM(H442:H471)</f>
        <v>23861.93</v>
      </c>
      <c r="I472" s="75"/>
      <c r="J472" s="75">
        <v>0</v>
      </c>
      <c r="K472" s="75"/>
      <c r="L472" s="76"/>
      <c r="M472" s="78">
        <f>SUM(M442:M471)</f>
        <v>1313.28</v>
      </c>
      <c r="N472" s="78">
        <f>SUM(N442:N471)</f>
        <v>23861.93</v>
      </c>
      <c r="O472" s="78">
        <f>SUM(O442:O471)</f>
        <v>0</v>
      </c>
      <c r="P472" s="91">
        <f>N472/H472</f>
        <v>1</v>
      </c>
      <c r="Q472" s="51"/>
      <c r="T472" s="53"/>
    </row>
    <row r="473" spans="1:20" s="56" customFormat="1" ht="12" x14ac:dyDescent="0.2">
      <c r="A473" s="72"/>
      <c r="B473" s="71"/>
      <c r="C473" s="71"/>
      <c r="D473" s="71"/>
      <c r="E473" s="71"/>
      <c r="F473" s="75"/>
      <c r="G473" s="77" t="s">
        <v>823</v>
      </c>
      <c r="H473" s="78">
        <f>H472+H439+H432+H429+H426+H423+H419+H412+H408+H398+H395</f>
        <v>53090.02</v>
      </c>
      <c r="I473" s="71"/>
      <c r="J473" s="75">
        <v>0</v>
      </c>
      <c r="K473" s="75"/>
      <c r="L473" s="78">
        <f>SUM(L390:L471)</f>
        <v>41609.429999999993</v>
      </c>
      <c r="M473" s="78">
        <f>M472+M439+M432+M429+M426+M423+M419+M412+M408+M398+M395</f>
        <v>1313.28</v>
      </c>
      <c r="N473" s="78">
        <f>N472+N439+N432+N429+N426+N423+N419+N412+N408+N398+N395</f>
        <v>53090.02</v>
      </c>
      <c r="O473" s="78">
        <f>O472+O439+O432+O429+O426+O423+O419+O412+O408+O398+O395</f>
        <v>0</v>
      </c>
      <c r="P473" s="91">
        <f>N473/H473</f>
        <v>1</v>
      </c>
      <c r="Q473" s="60">
        <v>53090.01999999999</v>
      </c>
      <c r="R473" s="58"/>
      <c r="T473" s="59"/>
    </row>
    <row r="474" spans="1:20" s="56" customFormat="1" ht="12" x14ac:dyDescent="0.2">
      <c r="A474" s="72"/>
      <c r="B474" s="69"/>
      <c r="C474" s="82"/>
      <c r="D474" s="72"/>
      <c r="E474" s="72"/>
      <c r="F474" s="75"/>
      <c r="G474" s="72"/>
      <c r="H474" s="72"/>
      <c r="I474" s="72"/>
      <c r="J474" s="75">
        <v>0</v>
      </c>
      <c r="K474" s="75"/>
      <c r="L474" s="72"/>
      <c r="M474" s="72"/>
      <c r="N474" s="72"/>
      <c r="O474" s="72"/>
      <c r="P474" s="72"/>
      <c r="Q474" s="52"/>
      <c r="T474" s="52"/>
    </row>
    <row r="475" spans="1:20" s="56" customFormat="1" ht="12" x14ac:dyDescent="0.2">
      <c r="A475" s="72"/>
      <c r="B475" s="70" t="s">
        <v>824</v>
      </c>
      <c r="C475" s="71" t="s">
        <v>825</v>
      </c>
      <c r="D475" s="72"/>
      <c r="E475" s="72"/>
      <c r="F475" s="75"/>
      <c r="G475" s="72"/>
      <c r="H475" s="72"/>
      <c r="I475" s="72"/>
      <c r="J475" s="75">
        <v>0</v>
      </c>
      <c r="K475" s="75"/>
      <c r="L475" s="72"/>
      <c r="M475" s="72"/>
      <c r="N475" s="72"/>
      <c r="O475" s="72"/>
      <c r="P475" s="72"/>
      <c r="Q475" s="52"/>
      <c r="T475" s="52"/>
    </row>
    <row r="476" spans="1:20" s="56" customFormat="1" ht="12" x14ac:dyDescent="0.2">
      <c r="A476" s="72"/>
      <c r="B476" s="70" t="s">
        <v>826</v>
      </c>
      <c r="C476" s="71" t="s">
        <v>827</v>
      </c>
      <c r="D476" s="72"/>
      <c r="E476" s="72"/>
      <c r="F476" s="75"/>
      <c r="G476" s="72"/>
      <c r="H476" s="72"/>
      <c r="I476" s="72"/>
      <c r="J476" s="75">
        <v>0</v>
      </c>
      <c r="K476" s="75"/>
      <c r="L476" s="72"/>
      <c r="M476" s="72"/>
      <c r="N476" s="72"/>
      <c r="O476" s="72"/>
      <c r="P476" s="72"/>
      <c r="Q476" s="52"/>
      <c r="T476" s="52"/>
    </row>
    <row r="477" spans="1:20" s="56" customFormat="1" ht="36" x14ac:dyDescent="0.2">
      <c r="A477" s="94">
        <v>96985</v>
      </c>
      <c r="B477" s="80">
        <v>44197</v>
      </c>
      <c r="C477" s="82" t="s">
        <v>863</v>
      </c>
      <c r="D477" s="73" t="s">
        <v>102</v>
      </c>
      <c r="E477" s="75">
        <v>3</v>
      </c>
      <c r="F477" s="75">
        <f>ROUND(T477*$T$10,2)</f>
        <v>38.270000000000003</v>
      </c>
      <c r="G477" s="75">
        <f>ROUND(F477*(1+$U$1),2)</f>
        <v>48.83</v>
      </c>
      <c r="H477" s="76">
        <f>ROUND(E477*G477,2)</f>
        <v>146.49</v>
      </c>
      <c r="I477" s="75"/>
      <c r="J477" s="75">
        <v>3</v>
      </c>
      <c r="K477" s="75">
        <f t="shared" si="133"/>
        <v>0</v>
      </c>
      <c r="L477" s="76">
        <f>ROUND(E477*F477,2)</f>
        <v>114.81</v>
      </c>
      <c r="M477" s="76">
        <f>I477*G477</f>
        <v>0</v>
      </c>
      <c r="N477" s="76">
        <f>J477*G477</f>
        <v>146.49</v>
      </c>
      <c r="O477" s="76">
        <f>H477-N477</f>
        <v>0</v>
      </c>
      <c r="P477" s="90">
        <f t="shared" ref="P477:P479" si="134">N477/H477</f>
        <v>1</v>
      </c>
      <c r="Q477" s="51"/>
      <c r="T477" s="53">
        <v>38.270000000000003</v>
      </c>
    </row>
    <row r="478" spans="1:20" s="56" customFormat="1" ht="24" x14ac:dyDescent="0.2">
      <c r="A478" s="94">
        <v>98111</v>
      </c>
      <c r="B478" s="80">
        <v>44198</v>
      </c>
      <c r="C478" s="74" t="s">
        <v>828</v>
      </c>
      <c r="D478" s="73" t="s">
        <v>102</v>
      </c>
      <c r="E478" s="75">
        <v>1</v>
      </c>
      <c r="F478" s="75">
        <f>ROUND(T478*$T$10,2)</f>
        <v>17.170000000000002</v>
      </c>
      <c r="G478" s="75">
        <f>ROUND(F478*(1+$U$1),2)</f>
        <v>21.91</v>
      </c>
      <c r="H478" s="76">
        <f>ROUND(E478*G478,2)</f>
        <v>21.91</v>
      </c>
      <c r="I478" s="75"/>
      <c r="J478" s="75">
        <v>1</v>
      </c>
      <c r="K478" s="75">
        <f t="shared" si="133"/>
        <v>0</v>
      </c>
      <c r="L478" s="76">
        <f>ROUND(E478*F478,2)</f>
        <v>17.170000000000002</v>
      </c>
      <c r="M478" s="76">
        <f>I478*G478</f>
        <v>0</v>
      </c>
      <c r="N478" s="76">
        <f>J478*G478</f>
        <v>21.91</v>
      </c>
      <c r="O478" s="76">
        <f>H478-N478</f>
        <v>0</v>
      </c>
      <c r="P478" s="90">
        <f t="shared" si="134"/>
        <v>1</v>
      </c>
      <c r="Q478" s="51"/>
      <c r="T478" s="53">
        <v>17.170000000000002</v>
      </c>
    </row>
    <row r="479" spans="1:20" s="56" customFormat="1" ht="24" x14ac:dyDescent="0.2">
      <c r="A479" s="94">
        <v>39862</v>
      </c>
      <c r="B479" s="80">
        <v>44199</v>
      </c>
      <c r="C479" s="74" t="s">
        <v>829</v>
      </c>
      <c r="D479" s="73" t="s">
        <v>102</v>
      </c>
      <c r="E479" s="75">
        <v>3</v>
      </c>
      <c r="F479" s="75">
        <f>ROUND(T479*$T$10,2)</f>
        <v>5.62</v>
      </c>
      <c r="G479" s="75">
        <f>ROUND(F479*(1+$U$1),2)</f>
        <v>7.17</v>
      </c>
      <c r="H479" s="76">
        <f>ROUND(E479*G479,2)</f>
        <v>21.51</v>
      </c>
      <c r="I479" s="75"/>
      <c r="J479" s="75">
        <v>3</v>
      </c>
      <c r="K479" s="75">
        <f t="shared" si="133"/>
        <v>0</v>
      </c>
      <c r="L479" s="76">
        <f>ROUND(E479*F479,2)</f>
        <v>16.86</v>
      </c>
      <c r="M479" s="76">
        <f>I479*G479</f>
        <v>0</v>
      </c>
      <c r="N479" s="76">
        <f>J479*G479</f>
        <v>21.509999999999998</v>
      </c>
      <c r="O479" s="76">
        <f>H479-N479</f>
        <v>0</v>
      </c>
      <c r="P479" s="90">
        <f t="shared" si="134"/>
        <v>0.99999999999999989</v>
      </c>
      <c r="Q479" s="51"/>
      <c r="T479" s="53">
        <v>5.62</v>
      </c>
    </row>
    <row r="480" spans="1:20" s="56" customFormat="1" ht="12" x14ac:dyDescent="0.2">
      <c r="A480" s="72"/>
      <c r="B480" s="71"/>
      <c r="C480" s="71"/>
      <c r="D480" s="71"/>
      <c r="E480" s="71"/>
      <c r="F480" s="75"/>
      <c r="G480" s="77" t="s">
        <v>830</v>
      </c>
      <c r="H480" s="86">
        <f>SUM(H477:H479)</f>
        <v>189.91</v>
      </c>
      <c r="I480" s="71"/>
      <c r="J480" s="75">
        <v>0</v>
      </c>
      <c r="K480" s="75">
        <f t="shared" si="133"/>
        <v>0</v>
      </c>
      <c r="L480" s="86">
        <f>SUM(L477:L479)</f>
        <v>148.84000000000003</v>
      </c>
      <c r="M480" s="86">
        <f>SUM(M477:M479)</f>
        <v>0</v>
      </c>
      <c r="N480" s="86">
        <f>SUM(N477:N479)</f>
        <v>189.91</v>
      </c>
      <c r="O480" s="86">
        <f>SUM(O477:O479)</f>
        <v>0</v>
      </c>
      <c r="P480" s="86"/>
      <c r="Q480" s="62"/>
      <c r="T480" s="59"/>
    </row>
    <row r="481" spans="1:20" s="56" customFormat="1" ht="12" x14ac:dyDescent="0.2">
      <c r="A481" s="72"/>
      <c r="B481" s="70" t="s">
        <v>831</v>
      </c>
      <c r="C481" s="71" t="s">
        <v>832</v>
      </c>
      <c r="D481" s="72"/>
      <c r="E481" s="72"/>
      <c r="F481" s="75"/>
      <c r="G481" s="72"/>
      <c r="H481" s="72"/>
      <c r="I481" s="72"/>
      <c r="J481" s="75">
        <v>0</v>
      </c>
      <c r="K481" s="75">
        <f t="shared" si="133"/>
        <v>0</v>
      </c>
      <c r="L481" s="72"/>
      <c r="M481" s="72"/>
      <c r="N481" s="72"/>
      <c r="O481" s="72"/>
      <c r="P481" s="72"/>
      <c r="Q481" s="52"/>
      <c r="T481" s="52"/>
    </row>
    <row r="482" spans="1:20" s="56" customFormat="1" ht="12" x14ac:dyDescent="0.2">
      <c r="A482" s="94">
        <v>96974</v>
      </c>
      <c r="B482" s="80">
        <v>44228</v>
      </c>
      <c r="C482" s="74" t="s">
        <v>833</v>
      </c>
      <c r="D482" s="73" t="s">
        <v>81</v>
      </c>
      <c r="E482" s="75">
        <v>15</v>
      </c>
      <c r="F482" s="75">
        <f>ROUND(T482*$T$10,2)</f>
        <v>36.83</v>
      </c>
      <c r="G482" s="75">
        <f>ROUND(F482*(1+$U$1),2)</f>
        <v>46.99</v>
      </c>
      <c r="H482" s="76">
        <f>ROUND(E482*G482,2)</f>
        <v>704.85</v>
      </c>
      <c r="I482" s="75"/>
      <c r="J482" s="75">
        <v>15</v>
      </c>
      <c r="K482" s="75">
        <f t="shared" si="133"/>
        <v>0</v>
      </c>
      <c r="L482" s="76">
        <f>ROUND(E482*F482,2)</f>
        <v>552.45000000000005</v>
      </c>
      <c r="M482" s="76">
        <f>I482*G482</f>
        <v>0</v>
      </c>
      <c r="N482" s="76">
        <f>J482*G482</f>
        <v>704.85</v>
      </c>
      <c r="O482" s="76">
        <f>H482-N482</f>
        <v>0</v>
      </c>
      <c r="P482" s="90">
        <f t="shared" ref="P482:P483" si="135">N482/H482</f>
        <v>1</v>
      </c>
      <c r="Q482" s="51"/>
      <c r="T482" s="53">
        <v>36.83</v>
      </c>
    </row>
    <row r="483" spans="1:20" s="56" customFormat="1" ht="12" x14ac:dyDescent="0.2">
      <c r="A483" s="94">
        <v>96973</v>
      </c>
      <c r="B483" s="80">
        <v>44229</v>
      </c>
      <c r="C483" s="74" t="s">
        <v>834</v>
      </c>
      <c r="D483" s="73" t="s">
        <v>81</v>
      </c>
      <c r="E483" s="75">
        <v>8</v>
      </c>
      <c r="F483" s="75">
        <f>ROUND(T483*$T$10,2)</f>
        <v>29.32</v>
      </c>
      <c r="G483" s="75">
        <f>ROUND(F483*(1+$U$1),2)</f>
        <v>37.409999999999997</v>
      </c>
      <c r="H483" s="76">
        <f>ROUND(E483*G483,2)</f>
        <v>299.27999999999997</v>
      </c>
      <c r="I483" s="75"/>
      <c r="J483" s="75">
        <v>8</v>
      </c>
      <c r="K483" s="75">
        <f t="shared" si="133"/>
        <v>0</v>
      </c>
      <c r="L483" s="76">
        <f>ROUND(E483*F483,2)</f>
        <v>234.56</v>
      </c>
      <c r="M483" s="76">
        <f>I483*G483</f>
        <v>0</v>
      </c>
      <c r="N483" s="76">
        <f>J483*G483</f>
        <v>299.27999999999997</v>
      </c>
      <c r="O483" s="76">
        <f>H483-N483</f>
        <v>0</v>
      </c>
      <c r="P483" s="90">
        <f t="shared" si="135"/>
        <v>1</v>
      </c>
      <c r="Q483" s="51"/>
      <c r="T483" s="53">
        <v>29.32</v>
      </c>
    </row>
    <row r="484" spans="1:20" s="56" customFormat="1" ht="12" x14ac:dyDescent="0.2">
      <c r="A484" s="72"/>
      <c r="B484" s="71"/>
      <c r="C484" s="71"/>
      <c r="D484" s="71"/>
      <c r="E484" s="71"/>
      <c r="F484" s="75"/>
      <c r="G484" s="77" t="s">
        <v>835</v>
      </c>
      <c r="H484" s="86">
        <f>SUM(H481:H483)</f>
        <v>1004.13</v>
      </c>
      <c r="I484" s="71"/>
      <c r="J484" s="75">
        <v>0</v>
      </c>
      <c r="K484" s="75">
        <f t="shared" si="133"/>
        <v>0</v>
      </c>
      <c r="L484" s="86">
        <f>SUM(L481:L483)</f>
        <v>787.01</v>
      </c>
      <c r="M484" s="86">
        <f>SUM(M481:M483)</f>
        <v>0</v>
      </c>
      <c r="N484" s="86">
        <f>SUM(N481:N483)</f>
        <v>1004.13</v>
      </c>
      <c r="O484" s="86">
        <f>SUM(O481:O483)</f>
        <v>0</v>
      </c>
      <c r="P484" s="91">
        <f>N484/H484</f>
        <v>1</v>
      </c>
      <c r="Q484" s="62"/>
      <c r="T484" s="59"/>
    </row>
    <row r="485" spans="1:20" s="56" customFormat="1" ht="12" x14ac:dyDescent="0.2">
      <c r="A485" s="72"/>
      <c r="B485" s="70" t="s">
        <v>836</v>
      </c>
      <c r="C485" s="71" t="s">
        <v>837</v>
      </c>
      <c r="D485" s="72"/>
      <c r="E485" s="72"/>
      <c r="F485" s="75"/>
      <c r="G485" s="72"/>
      <c r="H485" s="72"/>
      <c r="I485" s="72"/>
      <c r="J485" s="75">
        <v>0</v>
      </c>
      <c r="K485" s="75">
        <f t="shared" si="133"/>
        <v>0</v>
      </c>
      <c r="L485" s="72"/>
      <c r="M485" s="72"/>
      <c r="N485" s="72"/>
      <c r="O485" s="72"/>
      <c r="P485" s="72"/>
      <c r="Q485" s="52"/>
      <c r="T485" s="52"/>
    </row>
    <row r="486" spans="1:20" s="56" customFormat="1" ht="48" x14ac:dyDescent="0.2">
      <c r="A486" s="96" t="s">
        <v>838</v>
      </c>
      <c r="B486" s="80">
        <v>44256</v>
      </c>
      <c r="C486" s="74" t="s">
        <v>839</v>
      </c>
      <c r="D486" s="73" t="s">
        <v>102</v>
      </c>
      <c r="E486" s="75">
        <v>1</v>
      </c>
      <c r="F486" s="75">
        <f t="shared" ref="F486:F491" si="136">ROUND(T486*$T$10,2)</f>
        <v>1679.04</v>
      </c>
      <c r="G486" s="75">
        <f t="shared" ref="G486:G491" si="137">ROUND(F486*(1+$U$1),2)</f>
        <v>2142.29</v>
      </c>
      <c r="H486" s="76">
        <f t="shared" ref="H486:H491" si="138">ROUND(E486*G486,2)</f>
        <v>2142.29</v>
      </c>
      <c r="I486" s="75"/>
      <c r="J486" s="75">
        <v>1</v>
      </c>
      <c r="K486" s="75">
        <f t="shared" si="133"/>
        <v>0</v>
      </c>
      <c r="L486" s="76">
        <f t="shared" ref="L486:L491" si="139">ROUND(E486*F486,2)</f>
        <v>1679.04</v>
      </c>
      <c r="M486" s="76">
        <f t="shared" ref="M486:M491" si="140">I486*G486</f>
        <v>0</v>
      </c>
      <c r="N486" s="76">
        <f t="shared" ref="N486:N491" si="141">J486*G486</f>
        <v>2142.29</v>
      </c>
      <c r="O486" s="76">
        <f t="shared" ref="O486:O491" si="142">H486-N486</f>
        <v>0</v>
      </c>
      <c r="P486" s="90">
        <f t="shared" ref="P486:P491" si="143">N486/H486</f>
        <v>1</v>
      </c>
      <c r="Q486" s="51"/>
      <c r="T486" s="51">
        <v>1679.04</v>
      </c>
    </row>
    <row r="487" spans="1:20" s="56" customFormat="1" ht="36" x14ac:dyDescent="0.2">
      <c r="A487" s="73" t="s">
        <v>840</v>
      </c>
      <c r="B487" s="80">
        <v>44257</v>
      </c>
      <c r="C487" s="74" t="s">
        <v>841</v>
      </c>
      <c r="D487" s="73" t="s">
        <v>102</v>
      </c>
      <c r="E487" s="75">
        <v>1</v>
      </c>
      <c r="F487" s="75">
        <f t="shared" si="136"/>
        <v>214.05</v>
      </c>
      <c r="G487" s="75">
        <f t="shared" si="137"/>
        <v>273.11</v>
      </c>
      <c r="H487" s="76">
        <f t="shared" si="138"/>
        <v>273.11</v>
      </c>
      <c r="I487" s="75"/>
      <c r="J487" s="75">
        <v>1</v>
      </c>
      <c r="K487" s="75">
        <f t="shared" si="133"/>
        <v>0</v>
      </c>
      <c r="L487" s="76">
        <f t="shared" si="139"/>
        <v>214.05</v>
      </c>
      <c r="M487" s="76">
        <f t="shared" si="140"/>
        <v>0</v>
      </c>
      <c r="N487" s="76">
        <f t="shared" si="141"/>
        <v>273.11</v>
      </c>
      <c r="O487" s="76">
        <f t="shared" si="142"/>
        <v>0</v>
      </c>
      <c r="P487" s="90">
        <f t="shared" si="143"/>
        <v>1</v>
      </c>
      <c r="Q487" s="51"/>
      <c r="T487" s="53">
        <v>214.05</v>
      </c>
    </row>
    <row r="488" spans="1:20" s="56" customFormat="1" ht="36" x14ac:dyDescent="0.2">
      <c r="A488" s="73" t="s">
        <v>842</v>
      </c>
      <c r="B488" s="80">
        <v>44258</v>
      </c>
      <c r="C488" s="74" t="s">
        <v>843</v>
      </c>
      <c r="D488" s="73" t="s">
        <v>102</v>
      </c>
      <c r="E488" s="75">
        <v>2</v>
      </c>
      <c r="F488" s="75">
        <f t="shared" si="136"/>
        <v>320</v>
      </c>
      <c r="G488" s="75">
        <f t="shared" si="137"/>
        <v>408.29</v>
      </c>
      <c r="H488" s="76">
        <f t="shared" si="138"/>
        <v>816.58</v>
      </c>
      <c r="I488" s="75"/>
      <c r="J488" s="75">
        <v>2</v>
      </c>
      <c r="K488" s="75">
        <f t="shared" si="133"/>
        <v>0</v>
      </c>
      <c r="L488" s="76">
        <f t="shared" si="139"/>
        <v>640</v>
      </c>
      <c r="M488" s="76">
        <f t="shared" si="140"/>
        <v>0</v>
      </c>
      <c r="N488" s="76">
        <f t="shared" si="141"/>
        <v>816.58</v>
      </c>
      <c r="O488" s="76">
        <f t="shared" si="142"/>
        <v>0</v>
      </c>
      <c r="P488" s="90">
        <f t="shared" si="143"/>
        <v>1</v>
      </c>
      <c r="Q488" s="51"/>
      <c r="T488" s="53">
        <v>320</v>
      </c>
    </row>
    <row r="489" spans="1:20" s="56" customFormat="1" ht="36" x14ac:dyDescent="0.2">
      <c r="A489" s="73" t="s">
        <v>842</v>
      </c>
      <c r="B489" s="80">
        <v>44259</v>
      </c>
      <c r="C489" s="74" t="s">
        <v>844</v>
      </c>
      <c r="D489" s="73" t="s">
        <v>102</v>
      </c>
      <c r="E489" s="75">
        <v>1</v>
      </c>
      <c r="F489" s="75">
        <f t="shared" si="136"/>
        <v>320</v>
      </c>
      <c r="G489" s="75">
        <f t="shared" si="137"/>
        <v>408.29</v>
      </c>
      <c r="H489" s="76">
        <f t="shared" si="138"/>
        <v>408.29</v>
      </c>
      <c r="I489" s="75"/>
      <c r="J489" s="75">
        <v>1</v>
      </c>
      <c r="K489" s="75">
        <f t="shared" si="133"/>
        <v>0</v>
      </c>
      <c r="L489" s="76">
        <f t="shared" si="139"/>
        <v>320</v>
      </c>
      <c r="M489" s="76">
        <f t="shared" si="140"/>
        <v>0</v>
      </c>
      <c r="N489" s="76">
        <f t="shared" si="141"/>
        <v>408.29</v>
      </c>
      <c r="O489" s="76">
        <f t="shared" si="142"/>
        <v>0</v>
      </c>
      <c r="P489" s="90">
        <f t="shared" si="143"/>
        <v>1</v>
      </c>
      <c r="Q489" s="51"/>
      <c r="T489" s="53">
        <v>320</v>
      </c>
    </row>
    <row r="490" spans="1:20" s="56" customFormat="1" ht="36" x14ac:dyDescent="0.2">
      <c r="A490" s="73" t="s">
        <v>842</v>
      </c>
      <c r="B490" s="80">
        <v>44260</v>
      </c>
      <c r="C490" s="74" t="s">
        <v>845</v>
      </c>
      <c r="D490" s="73" t="s">
        <v>102</v>
      </c>
      <c r="E490" s="75">
        <v>1</v>
      </c>
      <c r="F490" s="75">
        <f t="shared" si="136"/>
        <v>320</v>
      </c>
      <c r="G490" s="75">
        <f t="shared" si="137"/>
        <v>408.29</v>
      </c>
      <c r="H490" s="76">
        <f t="shared" si="138"/>
        <v>408.29</v>
      </c>
      <c r="I490" s="75"/>
      <c r="J490" s="75">
        <v>1</v>
      </c>
      <c r="K490" s="75">
        <f t="shared" si="133"/>
        <v>0</v>
      </c>
      <c r="L490" s="76">
        <f t="shared" si="139"/>
        <v>320</v>
      </c>
      <c r="M490" s="76">
        <f t="shared" si="140"/>
        <v>0</v>
      </c>
      <c r="N490" s="76">
        <f t="shared" si="141"/>
        <v>408.29</v>
      </c>
      <c r="O490" s="76">
        <f t="shared" si="142"/>
        <v>0</v>
      </c>
      <c r="P490" s="90">
        <f t="shared" si="143"/>
        <v>1</v>
      </c>
      <c r="Q490" s="51"/>
      <c r="T490" s="53">
        <v>320</v>
      </c>
    </row>
    <row r="491" spans="1:20" s="56" customFormat="1" ht="12" x14ac:dyDescent="0.2">
      <c r="A491" s="73" t="s">
        <v>308</v>
      </c>
      <c r="B491" s="80">
        <v>44261</v>
      </c>
      <c r="C491" s="74" t="s">
        <v>846</v>
      </c>
      <c r="D491" s="73" t="s">
        <v>102</v>
      </c>
      <c r="E491" s="75">
        <v>1</v>
      </c>
      <c r="F491" s="75">
        <f t="shared" si="136"/>
        <v>282.57</v>
      </c>
      <c r="G491" s="75">
        <f t="shared" si="137"/>
        <v>360.53</v>
      </c>
      <c r="H491" s="76">
        <f t="shared" si="138"/>
        <v>360.53</v>
      </c>
      <c r="I491" s="75"/>
      <c r="J491" s="75">
        <v>1</v>
      </c>
      <c r="K491" s="75">
        <f t="shared" si="133"/>
        <v>0</v>
      </c>
      <c r="L491" s="76">
        <f t="shared" si="139"/>
        <v>282.57</v>
      </c>
      <c r="M491" s="76">
        <f t="shared" si="140"/>
        <v>0</v>
      </c>
      <c r="N491" s="76">
        <f t="shared" si="141"/>
        <v>360.53</v>
      </c>
      <c r="O491" s="76">
        <f t="shared" si="142"/>
        <v>0</v>
      </c>
      <c r="P491" s="90">
        <f t="shared" si="143"/>
        <v>1</v>
      </c>
      <c r="Q491" s="51"/>
      <c r="T491" s="53">
        <v>282.57</v>
      </c>
    </row>
    <row r="492" spans="1:20" s="56" customFormat="1" ht="12" x14ac:dyDescent="0.2">
      <c r="A492" s="72"/>
      <c r="B492" s="71"/>
      <c r="C492" s="71"/>
      <c r="D492" s="71"/>
      <c r="E492" s="71"/>
      <c r="F492" s="75"/>
      <c r="G492" s="77" t="s">
        <v>847</v>
      </c>
      <c r="H492" s="86">
        <f>SUM(H486:H491)</f>
        <v>4409.09</v>
      </c>
      <c r="I492" s="71"/>
      <c r="J492" s="75">
        <v>0</v>
      </c>
      <c r="K492" s="75">
        <f t="shared" si="133"/>
        <v>0</v>
      </c>
      <c r="L492" s="86">
        <f>SUM(L486:L491)</f>
        <v>3455.6600000000003</v>
      </c>
      <c r="M492" s="86">
        <f>SUM(M486:M491)</f>
        <v>0</v>
      </c>
      <c r="N492" s="86">
        <f>SUM(N486:N491)</f>
        <v>4409.09</v>
      </c>
      <c r="O492" s="86">
        <f>SUM(O486:O491)</f>
        <v>0</v>
      </c>
      <c r="P492" s="91">
        <f>N492/H492</f>
        <v>1</v>
      </c>
      <c r="Q492" s="62"/>
      <c r="T492" s="59"/>
    </row>
    <row r="493" spans="1:20" s="56" customFormat="1" ht="12" x14ac:dyDescent="0.2">
      <c r="A493" s="72"/>
      <c r="B493" s="70" t="s">
        <v>848</v>
      </c>
      <c r="C493" s="71" t="s">
        <v>849</v>
      </c>
      <c r="D493" s="72"/>
      <c r="E493" s="72"/>
      <c r="F493" s="75"/>
      <c r="G493" s="72"/>
      <c r="H493" s="72"/>
      <c r="I493" s="72"/>
      <c r="J493" s="75">
        <v>0</v>
      </c>
      <c r="K493" s="75">
        <f t="shared" si="133"/>
        <v>0</v>
      </c>
      <c r="L493" s="72"/>
      <c r="M493" s="72"/>
      <c r="N493" s="72"/>
      <c r="O493" s="72"/>
      <c r="P493" s="72"/>
      <c r="Q493" s="52"/>
      <c r="T493" s="52"/>
    </row>
    <row r="494" spans="1:20" s="56" customFormat="1" ht="48" x14ac:dyDescent="0.2">
      <c r="A494" s="73" t="s">
        <v>842</v>
      </c>
      <c r="B494" s="80">
        <v>44287</v>
      </c>
      <c r="C494" s="74" t="s">
        <v>850</v>
      </c>
      <c r="D494" s="73" t="s">
        <v>102</v>
      </c>
      <c r="E494" s="75">
        <v>2</v>
      </c>
      <c r="F494" s="75">
        <f>ROUND(T494*$T$10,2)</f>
        <v>320</v>
      </c>
      <c r="G494" s="75">
        <f>ROUND(F494*(1+$U$1),2)</f>
        <v>408.29</v>
      </c>
      <c r="H494" s="76">
        <f>ROUND(E494*G494,2)</f>
        <v>816.58</v>
      </c>
      <c r="I494" s="75"/>
      <c r="J494" s="75">
        <v>2</v>
      </c>
      <c r="K494" s="75">
        <f t="shared" si="133"/>
        <v>0</v>
      </c>
      <c r="L494" s="76">
        <f>ROUND(E494*F494,2)</f>
        <v>640</v>
      </c>
      <c r="M494" s="76">
        <f>I494*G494</f>
        <v>0</v>
      </c>
      <c r="N494" s="76">
        <f>J494*G494</f>
        <v>816.58</v>
      </c>
      <c r="O494" s="76">
        <f>H494-N494</f>
        <v>0</v>
      </c>
      <c r="P494" s="90">
        <f>N494/H494</f>
        <v>1</v>
      </c>
      <c r="Q494" s="51"/>
      <c r="T494" s="53">
        <v>320</v>
      </c>
    </row>
    <row r="495" spans="1:20" s="56" customFormat="1" ht="48" x14ac:dyDescent="0.2">
      <c r="A495" s="73" t="s">
        <v>851</v>
      </c>
      <c r="B495" s="80">
        <v>44288</v>
      </c>
      <c r="C495" s="74" t="s">
        <v>852</v>
      </c>
      <c r="D495" s="73" t="s">
        <v>102</v>
      </c>
      <c r="E495" s="75">
        <v>1</v>
      </c>
      <c r="F495" s="75">
        <f>ROUND(T495*$T$10,2)</f>
        <v>950.49</v>
      </c>
      <c r="G495" s="75">
        <f>ROUND(F495*(1+$U$1),2)</f>
        <v>1212.73</v>
      </c>
      <c r="H495" s="76">
        <f>ROUND(E495*G495,2)</f>
        <v>1212.73</v>
      </c>
      <c r="I495" s="75"/>
      <c r="J495" s="75">
        <v>1</v>
      </c>
      <c r="K495" s="75">
        <f t="shared" si="133"/>
        <v>0</v>
      </c>
      <c r="L495" s="76">
        <f>ROUND(E495*F495,2)</f>
        <v>950.49</v>
      </c>
      <c r="M495" s="76">
        <f>I495*G495</f>
        <v>0</v>
      </c>
      <c r="N495" s="76">
        <f>J495*G495</f>
        <v>1212.73</v>
      </c>
      <c r="O495" s="76">
        <f>H495-N495</f>
        <v>0</v>
      </c>
      <c r="P495" s="90">
        <f>N495/H495</f>
        <v>1</v>
      </c>
      <c r="Q495" s="51"/>
      <c r="T495" s="53">
        <v>950.49</v>
      </c>
    </row>
    <row r="496" spans="1:20" s="56" customFormat="1" ht="60" x14ac:dyDescent="0.2">
      <c r="A496" s="73" t="s">
        <v>853</v>
      </c>
      <c r="B496" s="80">
        <v>44289</v>
      </c>
      <c r="C496" s="82" t="s">
        <v>864</v>
      </c>
      <c r="D496" s="73" t="s">
        <v>102</v>
      </c>
      <c r="E496" s="75">
        <v>1</v>
      </c>
      <c r="F496" s="75">
        <f>ROUND(T496*$T$10,2)</f>
        <v>1309.99</v>
      </c>
      <c r="G496" s="75">
        <f>ROUND(F496*(1+$U$1),2)</f>
        <v>1671.42</v>
      </c>
      <c r="H496" s="76">
        <f>ROUND(E496*G496,2)</f>
        <v>1671.42</v>
      </c>
      <c r="I496" s="75"/>
      <c r="J496" s="75">
        <v>1</v>
      </c>
      <c r="K496" s="75">
        <f t="shared" si="133"/>
        <v>0</v>
      </c>
      <c r="L496" s="76">
        <f>ROUND(E496*F496,2)</f>
        <v>1309.99</v>
      </c>
      <c r="M496" s="76">
        <f>I496*G496</f>
        <v>0</v>
      </c>
      <c r="N496" s="76">
        <f>J496*G496</f>
        <v>1671.42</v>
      </c>
      <c r="O496" s="76">
        <f>H496-N496</f>
        <v>0</v>
      </c>
      <c r="P496" s="90">
        <f>N496/H496</f>
        <v>1</v>
      </c>
      <c r="Q496" s="51"/>
      <c r="T496" s="51">
        <v>1309.99</v>
      </c>
    </row>
    <row r="497" spans="1:20" s="56" customFormat="1" ht="12" x14ac:dyDescent="0.2">
      <c r="A497" s="72"/>
      <c r="B497" s="71"/>
      <c r="C497" s="71"/>
      <c r="D497" s="71"/>
      <c r="E497" s="71"/>
      <c r="F497" s="75"/>
      <c r="G497" s="77" t="s">
        <v>854</v>
      </c>
      <c r="H497" s="78">
        <f>SUM(H494:H496)</f>
        <v>3700.73</v>
      </c>
      <c r="I497" s="71"/>
      <c r="J497" s="75">
        <v>0</v>
      </c>
      <c r="K497" s="75">
        <f t="shared" si="133"/>
        <v>0</v>
      </c>
      <c r="L497" s="78">
        <f>SUM(L494:L496)</f>
        <v>2900.48</v>
      </c>
      <c r="M497" s="78">
        <f>SUM(M494:M496)</f>
        <v>0</v>
      </c>
      <c r="N497" s="78">
        <f>SUM(N494:N496)</f>
        <v>3700.73</v>
      </c>
      <c r="O497" s="78">
        <f>SUM(O494:O496)</f>
        <v>0</v>
      </c>
      <c r="P497" s="91">
        <f>N497/H497</f>
        <v>1</v>
      </c>
      <c r="Q497" s="60"/>
      <c r="T497" s="59"/>
    </row>
    <row r="498" spans="1:20" s="56" customFormat="1" ht="12" x14ac:dyDescent="0.2">
      <c r="A498" s="72"/>
      <c r="B498" s="70" t="s">
        <v>855</v>
      </c>
      <c r="C498" s="71" t="s">
        <v>856</v>
      </c>
      <c r="D498" s="72"/>
      <c r="E498" s="72"/>
      <c r="F498" s="75"/>
      <c r="G498" s="72"/>
      <c r="H498" s="72"/>
      <c r="I498" s="75"/>
      <c r="J498" s="75">
        <v>0</v>
      </c>
      <c r="K498" s="75">
        <f t="shared" si="133"/>
        <v>0</v>
      </c>
      <c r="L498" s="72"/>
      <c r="M498" s="72"/>
      <c r="N498" s="72"/>
      <c r="O498" s="72"/>
      <c r="P498" s="72"/>
      <c r="Q498" s="52"/>
      <c r="T498" s="52"/>
    </row>
    <row r="499" spans="1:20" s="56" customFormat="1" ht="12" x14ac:dyDescent="0.2">
      <c r="A499" s="94">
        <v>2504</v>
      </c>
      <c r="B499" s="80">
        <v>44317</v>
      </c>
      <c r="C499" s="74" t="s">
        <v>857</v>
      </c>
      <c r="D499" s="73" t="s">
        <v>81</v>
      </c>
      <c r="E499" s="75">
        <v>160</v>
      </c>
      <c r="F499" s="75">
        <f t="shared" ref="F499:F510" si="144">ROUND(T499*$T$10,2)</f>
        <v>5.51</v>
      </c>
      <c r="G499" s="75">
        <f t="shared" ref="G499:G510" si="145">ROUND(F499*(1+$U$1),2)</f>
        <v>7.03</v>
      </c>
      <c r="H499" s="76">
        <f t="shared" ref="H499:H510" si="146">ROUND(E499*G499,2)</f>
        <v>1124.8</v>
      </c>
      <c r="I499" s="76"/>
      <c r="J499" s="75">
        <v>160</v>
      </c>
      <c r="K499" s="75">
        <f t="shared" si="133"/>
        <v>0</v>
      </c>
      <c r="L499" s="76">
        <f t="shared" ref="L499:L510" si="147">ROUND(E499*F499,2)</f>
        <v>881.6</v>
      </c>
      <c r="M499" s="76">
        <f t="shared" ref="M499:M510" si="148">I499*G499</f>
        <v>0</v>
      </c>
      <c r="N499" s="76">
        <f t="shared" ref="N499:N510" si="149">J499*G499</f>
        <v>1124.8</v>
      </c>
      <c r="O499" s="76">
        <f t="shared" ref="O499:O510" si="150">H499-N499</f>
        <v>0</v>
      </c>
      <c r="P499" s="90">
        <f t="shared" ref="P499:P510" si="151">N499/H499</f>
        <v>1</v>
      </c>
      <c r="Q499" s="51"/>
      <c r="T499" s="53">
        <v>5.51</v>
      </c>
    </row>
    <row r="500" spans="1:20" s="56" customFormat="1" ht="12" x14ac:dyDescent="0.2">
      <c r="A500" s="94">
        <v>91844</v>
      </c>
      <c r="B500" s="80">
        <v>44318</v>
      </c>
      <c r="C500" s="74" t="s">
        <v>858</v>
      </c>
      <c r="D500" s="73" t="s">
        <v>81</v>
      </c>
      <c r="E500" s="76">
        <v>1250</v>
      </c>
      <c r="F500" s="75">
        <f t="shared" si="144"/>
        <v>4.1500000000000004</v>
      </c>
      <c r="G500" s="75">
        <f t="shared" si="145"/>
        <v>5.29</v>
      </c>
      <c r="H500" s="76">
        <f t="shared" si="146"/>
        <v>6612.5</v>
      </c>
      <c r="I500" s="76"/>
      <c r="J500" s="75">
        <v>1250</v>
      </c>
      <c r="K500" s="75">
        <f t="shared" si="133"/>
        <v>0</v>
      </c>
      <c r="L500" s="76">
        <f t="shared" si="147"/>
        <v>5187.5</v>
      </c>
      <c r="M500" s="76">
        <f t="shared" si="148"/>
        <v>0</v>
      </c>
      <c r="N500" s="76">
        <f t="shared" si="149"/>
        <v>6612.5</v>
      </c>
      <c r="O500" s="76">
        <f t="shared" si="150"/>
        <v>0</v>
      </c>
      <c r="P500" s="90">
        <f t="shared" si="151"/>
        <v>1</v>
      </c>
      <c r="Q500" s="51"/>
      <c r="T500" s="53">
        <v>4.1500000000000004</v>
      </c>
    </row>
    <row r="501" spans="1:20" s="56" customFormat="1" ht="12" x14ac:dyDescent="0.2">
      <c r="A501" s="94">
        <v>91846</v>
      </c>
      <c r="B501" s="80">
        <v>44319</v>
      </c>
      <c r="C501" s="74" t="s">
        <v>859</v>
      </c>
      <c r="D501" s="73" t="s">
        <v>81</v>
      </c>
      <c r="E501" s="75">
        <v>200</v>
      </c>
      <c r="F501" s="75">
        <f t="shared" si="144"/>
        <v>5.77</v>
      </c>
      <c r="G501" s="75">
        <f t="shared" si="145"/>
        <v>7.36</v>
      </c>
      <c r="H501" s="76">
        <f t="shared" si="146"/>
        <v>1472</v>
      </c>
      <c r="I501" s="75"/>
      <c r="J501" s="75">
        <v>200</v>
      </c>
      <c r="K501" s="75">
        <f t="shared" si="133"/>
        <v>0</v>
      </c>
      <c r="L501" s="76">
        <f t="shared" si="147"/>
        <v>1154</v>
      </c>
      <c r="M501" s="76">
        <f t="shared" si="148"/>
        <v>0</v>
      </c>
      <c r="N501" s="76">
        <f t="shared" si="149"/>
        <v>1472</v>
      </c>
      <c r="O501" s="76">
        <f t="shared" si="150"/>
        <v>0</v>
      </c>
      <c r="P501" s="90">
        <f t="shared" si="151"/>
        <v>1</v>
      </c>
      <c r="Q501" s="51"/>
      <c r="T501" s="53">
        <v>5.77</v>
      </c>
    </row>
    <row r="502" spans="1:20" s="56" customFormat="1" ht="24" x14ac:dyDescent="0.2">
      <c r="A502" s="73" t="s">
        <v>78</v>
      </c>
      <c r="B502" s="80">
        <v>44320</v>
      </c>
      <c r="C502" s="74" t="s">
        <v>860</v>
      </c>
      <c r="D502" s="73" t="s">
        <v>102</v>
      </c>
      <c r="E502" s="75">
        <v>25</v>
      </c>
      <c r="F502" s="75">
        <f t="shared" si="144"/>
        <v>44.63</v>
      </c>
      <c r="G502" s="75">
        <f t="shared" si="145"/>
        <v>56.94</v>
      </c>
      <c r="H502" s="76">
        <f t="shared" si="146"/>
        <v>1423.5</v>
      </c>
      <c r="I502" s="75"/>
      <c r="J502" s="75">
        <v>25</v>
      </c>
      <c r="K502" s="75">
        <f t="shared" si="133"/>
        <v>0</v>
      </c>
      <c r="L502" s="76">
        <f t="shared" si="147"/>
        <v>1115.75</v>
      </c>
      <c r="M502" s="76">
        <f t="shared" si="148"/>
        <v>0</v>
      </c>
      <c r="N502" s="76">
        <f t="shared" si="149"/>
        <v>1423.5</v>
      </c>
      <c r="O502" s="76">
        <f t="shared" si="150"/>
        <v>0</v>
      </c>
      <c r="P502" s="90">
        <f t="shared" si="151"/>
        <v>1</v>
      </c>
      <c r="Q502" s="51"/>
      <c r="T502" s="53">
        <v>44.63</v>
      </c>
    </row>
    <row r="503" spans="1:20" s="56" customFormat="1" ht="24" x14ac:dyDescent="0.2">
      <c r="A503" s="94">
        <v>39246</v>
      </c>
      <c r="B503" s="80">
        <v>44321</v>
      </c>
      <c r="C503" s="74" t="s">
        <v>861</v>
      </c>
      <c r="D503" s="73" t="s">
        <v>81</v>
      </c>
      <c r="E503" s="75">
        <v>30</v>
      </c>
      <c r="F503" s="75">
        <f t="shared" si="144"/>
        <v>2.0299999999999998</v>
      </c>
      <c r="G503" s="75">
        <f t="shared" si="145"/>
        <v>2.59</v>
      </c>
      <c r="H503" s="76">
        <f t="shared" si="146"/>
        <v>77.7</v>
      </c>
      <c r="I503" s="75"/>
      <c r="J503" s="75">
        <v>30</v>
      </c>
      <c r="K503" s="75">
        <f t="shared" si="133"/>
        <v>0</v>
      </c>
      <c r="L503" s="76">
        <f t="shared" si="147"/>
        <v>60.9</v>
      </c>
      <c r="M503" s="76">
        <f t="shared" si="148"/>
        <v>0</v>
      </c>
      <c r="N503" s="76">
        <f t="shared" si="149"/>
        <v>77.699999999999989</v>
      </c>
      <c r="O503" s="76">
        <f t="shared" si="150"/>
        <v>0</v>
      </c>
      <c r="P503" s="90">
        <f t="shared" si="151"/>
        <v>0.99999999999999978</v>
      </c>
      <c r="Q503" s="51"/>
      <c r="T503" s="53">
        <v>2.0299999999999998</v>
      </c>
    </row>
    <row r="504" spans="1:20" s="56" customFormat="1" ht="24" x14ac:dyDescent="0.2">
      <c r="A504" s="94">
        <v>2446</v>
      </c>
      <c r="B504" s="80">
        <v>44322</v>
      </c>
      <c r="C504" s="74" t="s">
        <v>862</v>
      </c>
      <c r="D504" s="73" t="s">
        <v>81</v>
      </c>
      <c r="E504" s="75">
        <v>55</v>
      </c>
      <c r="F504" s="75">
        <f t="shared" si="144"/>
        <v>2.93</v>
      </c>
      <c r="G504" s="75">
        <f t="shared" si="145"/>
        <v>3.74</v>
      </c>
      <c r="H504" s="76">
        <f t="shared" si="146"/>
        <v>205.7</v>
      </c>
      <c r="I504" s="75"/>
      <c r="J504" s="75">
        <v>55</v>
      </c>
      <c r="K504" s="75">
        <f t="shared" si="133"/>
        <v>0</v>
      </c>
      <c r="L504" s="76">
        <f t="shared" si="147"/>
        <v>161.15</v>
      </c>
      <c r="M504" s="76">
        <f t="shared" si="148"/>
        <v>0</v>
      </c>
      <c r="N504" s="76">
        <f t="shared" si="149"/>
        <v>205.70000000000002</v>
      </c>
      <c r="O504" s="76">
        <f t="shared" si="150"/>
        <v>0</v>
      </c>
      <c r="P504" s="90">
        <f t="shared" si="151"/>
        <v>1.0000000000000002</v>
      </c>
      <c r="Q504" s="51"/>
      <c r="T504" s="53">
        <v>2.93</v>
      </c>
    </row>
    <row r="505" spans="1:20" s="56" customFormat="1" ht="24" x14ac:dyDescent="0.2">
      <c r="A505" s="94">
        <v>2442</v>
      </c>
      <c r="B505" s="80">
        <v>44323</v>
      </c>
      <c r="C505" s="74" t="s">
        <v>865</v>
      </c>
      <c r="D505" s="73" t="s">
        <v>81</v>
      </c>
      <c r="E505" s="75">
        <v>60</v>
      </c>
      <c r="F505" s="75">
        <f t="shared" si="144"/>
        <v>4.0999999999999996</v>
      </c>
      <c r="G505" s="75">
        <f t="shared" si="145"/>
        <v>5.23</v>
      </c>
      <c r="H505" s="76">
        <f t="shared" si="146"/>
        <v>313.8</v>
      </c>
      <c r="I505" s="75"/>
      <c r="J505" s="75">
        <v>60</v>
      </c>
      <c r="K505" s="75">
        <f t="shared" si="133"/>
        <v>0</v>
      </c>
      <c r="L505" s="76">
        <f t="shared" si="147"/>
        <v>246</v>
      </c>
      <c r="M505" s="76">
        <f t="shared" si="148"/>
        <v>0</v>
      </c>
      <c r="N505" s="76">
        <f t="shared" si="149"/>
        <v>313.8</v>
      </c>
      <c r="O505" s="76">
        <f t="shared" si="150"/>
        <v>0</v>
      </c>
      <c r="P505" s="90">
        <f t="shared" si="151"/>
        <v>1</v>
      </c>
      <c r="Q505" s="51"/>
      <c r="T505" s="53">
        <v>4.0999999999999996</v>
      </c>
    </row>
    <row r="506" spans="1:20" s="56" customFormat="1" ht="24" x14ac:dyDescent="0.2">
      <c r="A506" s="94">
        <v>39248</v>
      </c>
      <c r="B506" s="80">
        <v>44324</v>
      </c>
      <c r="C506" s="74" t="s">
        <v>866</v>
      </c>
      <c r="D506" s="73" t="s">
        <v>81</v>
      </c>
      <c r="E506" s="75">
        <v>60</v>
      </c>
      <c r="F506" s="75">
        <f t="shared" si="144"/>
        <v>5.71</v>
      </c>
      <c r="G506" s="75">
        <f t="shared" si="145"/>
        <v>7.29</v>
      </c>
      <c r="H506" s="76">
        <f t="shared" si="146"/>
        <v>437.4</v>
      </c>
      <c r="I506" s="75"/>
      <c r="J506" s="75">
        <v>60</v>
      </c>
      <c r="K506" s="75">
        <f t="shared" si="133"/>
        <v>0</v>
      </c>
      <c r="L506" s="76">
        <f t="shared" si="147"/>
        <v>342.6</v>
      </c>
      <c r="M506" s="76">
        <f t="shared" si="148"/>
        <v>0</v>
      </c>
      <c r="N506" s="76">
        <f t="shared" si="149"/>
        <v>437.4</v>
      </c>
      <c r="O506" s="76">
        <f t="shared" si="150"/>
        <v>0</v>
      </c>
      <c r="P506" s="90">
        <f t="shared" si="151"/>
        <v>1</v>
      </c>
      <c r="Q506" s="51"/>
      <c r="T506" s="53">
        <v>5.71</v>
      </c>
    </row>
    <row r="507" spans="1:20" s="56" customFormat="1" ht="24" x14ac:dyDescent="0.2">
      <c r="A507" s="73" t="s">
        <v>308</v>
      </c>
      <c r="B507" s="80">
        <v>44325</v>
      </c>
      <c r="C507" s="74" t="s">
        <v>867</v>
      </c>
      <c r="D507" s="73" t="s">
        <v>81</v>
      </c>
      <c r="E507" s="75">
        <v>200</v>
      </c>
      <c r="F507" s="75">
        <f t="shared" si="144"/>
        <v>9.8699999999999992</v>
      </c>
      <c r="G507" s="75">
        <f t="shared" si="145"/>
        <v>12.59</v>
      </c>
      <c r="H507" s="76">
        <f t="shared" si="146"/>
        <v>2518</v>
      </c>
      <c r="I507" s="75"/>
      <c r="J507" s="75">
        <v>200</v>
      </c>
      <c r="K507" s="75">
        <f t="shared" si="133"/>
        <v>0</v>
      </c>
      <c r="L507" s="76">
        <f t="shared" si="147"/>
        <v>1974</v>
      </c>
      <c r="M507" s="76">
        <f t="shared" si="148"/>
        <v>0</v>
      </c>
      <c r="N507" s="76">
        <f t="shared" si="149"/>
        <v>2518</v>
      </c>
      <c r="O507" s="76">
        <f t="shared" si="150"/>
        <v>0</v>
      </c>
      <c r="P507" s="90">
        <f t="shared" si="151"/>
        <v>1</v>
      </c>
      <c r="Q507" s="51"/>
      <c r="T507" s="53">
        <v>9.8699999999999992</v>
      </c>
    </row>
    <row r="508" spans="1:20" s="56" customFormat="1" ht="12" x14ac:dyDescent="0.2">
      <c r="A508" s="94">
        <v>39272</v>
      </c>
      <c r="B508" s="87">
        <v>40319</v>
      </c>
      <c r="C508" s="74" t="s">
        <v>868</v>
      </c>
      <c r="D508" s="73" t="s">
        <v>102</v>
      </c>
      <c r="E508" s="75">
        <v>180</v>
      </c>
      <c r="F508" s="75">
        <f t="shared" si="144"/>
        <v>1.47</v>
      </c>
      <c r="G508" s="75">
        <f t="shared" si="145"/>
        <v>1.88</v>
      </c>
      <c r="H508" s="76">
        <f t="shared" si="146"/>
        <v>338.4</v>
      </c>
      <c r="I508" s="75"/>
      <c r="J508" s="75">
        <v>180</v>
      </c>
      <c r="K508" s="75">
        <f t="shared" si="133"/>
        <v>0</v>
      </c>
      <c r="L508" s="76">
        <f t="shared" si="147"/>
        <v>264.60000000000002</v>
      </c>
      <c r="M508" s="76">
        <f t="shared" si="148"/>
        <v>0</v>
      </c>
      <c r="N508" s="76">
        <f t="shared" si="149"/>
        <v>338.4</v>
      </c>
      <c r="O508" s="76">
        <f t="shared" si="150"/>
        <v>0</v>
      </c>
      <c r="P508" s="90">
        <f t="shared" si="151"/>
        <v>1</v>
      </c>
      <c r="Q508" s="51"/>
      <c r="T508" s="53">
        <v>1.47</v>
      </c>
    </row>
    <row r="509" spans="1:20" s="56" customFormat="1" ht="12" x14ac:dyDescent="0.2">
      <c r="A509" s="73" t="s">
        <v>308</v>
      </c>
      <c r="B509" s="87">
        <v>40684</v>
      </c>
      <c r="C509" s="74" t="s">
        <v>869</v>
      </c>
      <c r="D509" s="73" t="s">
        <v>102</v>
      </c>
      <c r="E509" s="75">
        <v>800</v>
      </c>
      <c r="F509" s="75">
        <f t="shared" si="144"/>
        <v>1.1200000000000001</v>
      </c>
      <c r="G509" s="75">
        <f t="shared" si="145"/>
        <v>1.43</v>
      </c>
      <c r="H509" s="76">
        <f t="shared" si="146"/>
        <v>1144</v>
      </c>
      <c r="I509" s="75"/>
      <c r="J509" s="75">
        <v>800</v>
      </c>
      <c r="K509" s="75">
        <f t="shared" si="133"/>
        <v>0</v>
      </c>
      <c r="L509" s="76">
        <f t="shared" si="147"/>
        <v>896</v>
      </c>
      <c r="M509" s="76">
        <f t="shared" si="148"/>
        <v>0</v>
      </c>
      <c r="N509" s="76">
        <f t="shared" si="149"/>
        <v>1144</v>
      </c>
      <c r="O509" s="76">
        <f t="shared" si="150"/>
        <v>0</v>
      </c>
      <c r="P509" s="90">
        <f t="shared" si="151"/>
        <v>1</v>
      </c>
      <c r="Q509" s="51"/>
      <c r="T509" s="53">
        <v>1.1200000000000001</v>
      </c>
    </row>
    <row r="510" spans="1:20" s="56" customFormat="1" ht="12" x14ac:dyDescent="0.2">
      <c r="A510" s="73" t="s">
        <v>308</v>
      </c>
      <c r="B510" s="87">
        <v>41050</v>
      </c>
      <c r="C510" s="74" t="s">
        <v>870</v>
      </c>
      <c r="D510" s="73" t="s">
        <v>102</v>
      </c>
      <c r="E510" s="75">
        <v>120</v>
      </c>
      <c r="F510" s="75">
        <f t="shared" si="144"/>
        <v>2.2400000000000002</v>
      </c>
      <c r="G510" s="75">
        <f t="shared" si="145"/>
        <v>2.86</v>
      </c>
      <c r="H510" s="76">
        <f t="shared" si="146"/>
        <v>343.2</v>
      </c>
      <c r="I510" s="75"/>
      <c r="J510" s="75">
        <v>120</v>
      </c>
      <c r="K510" s="75">
        <f t="shared" si="133"/>
        <v>0</v>
      </c>
      <c r="L510" s="76">
        <f t="shared" si="147"/>
        <v>268.8</v>
      </c>
      <c r="M510" s="76">
        <f t="shared" si="148"/>
        <v>0</v>
      </c>
      <c r="N510" s="76">
        <f t="shared" si="149"/>
        <v>343.2</v>
      </c>
      <c r="O510" s="76">
        <f t="shared" si="150"/>
        <v>0</v>
      </c>
      <c r="P510" s="90">
        <f t="shared" si="151"/>
        <v>1</v>
      </c>
      <c r="Q510" s="51"/>
      <c r="T510" s="53">
        <v>2.2400000000000002</v>
      </c>
    </row>
    <row r="511" spans="1:20" s="56" customFormat="1" ht="12" x14ac:dyDescent="0.2">
      <c r="A511" s="72"/>
      <c r="B511" s="71"/>
      <c r="C511" s="71"/>
      <c r="D511" s="71"/>
      <c r="E511" s="71"/>
      <c r="F511" s="75"/>
      <c r="G511" s="77" t="s">
        <v>871</v>
      </c>
      <c r="H511" s="78">
        <f>SUM(H499:H510)</f>
        <v>16011</v>
      </c>
      <c r="I511" s="71"/>
      <c r="J511" s="75"/>
      <c r="K511" s="75">
        <f t="shared" si="133"/>
        <v>0</v>
      </c>
      <c r="L511" s="78">
        <f>SUM(L499:L510)</f>
        <v>12552.9</v>
      </c>
      <c r="M511" s="86">
        <f>SUM(M499:M510)</f>
        <v>0</v>
      </c>
      <c r="N511" s="78">
        <f>SUM(N499:N510)</f>
        <v>16011</v>
      </c>
      <c r="O511" s="78">
        <f>SUM(O499:O510)</f>
        <v>0</v>
      </c>
      <c r="P511" s="91">
        <f>N511/H511</f>
        <v>1</v>
      </c>
      <c r="Q511" s="60"/>
      <c r="T511" s="59"/>
    </row>
    <row r="512" spans="1:20" s="56" customFormat="1" ht="12" x14ac:dyDescent="0.2">
      <c r="A512" s="72"/>
      <c r="B512" s="70" t="s">
        <v>872</v>
      </c>
      <c r="C512" s="71" t="s">
        <v>873</v>
      </c>
      <c r="D512" s="72"/>
      <c r="E512" s="72"/>
      <c r="F512" s="75"/>
      <c r="G512" s="72"/>
      <c r="H512" s="72"/>
      <c r="I512" s="72"/>
      <c r="J512" s="75"/>
      <c r="K512" s="75">
        <f t="shared" ref="K512:K573" si="152">E512-J512</f>
        <v>0</v>
      </c>
      <c r="L512" s="72"/>
      <c r="M512" s="72"/>
      <c r="N512" s="72"/>
      <c r="O512" s="72"/>
      <c r="P512" s="72"/>
      <c r="Q512" s="52"/>
      <c r="T512" s="52"/>
    </row>
    <row r="513" spans="1:20" s="56" customFormat="1" ht="48" x14ac:dyDescent="0.2">
      <c r="A513" s="72"/>
      <c r="B513" s="69"/>
      <c r="C513" s="74" t="s">
        <v>874</v>
      </c>
      <c r="D513" s="72"/>
      <c r="E513" s="72"/>
      <c r="F513" s="75"/>
      <c r="G513" s="72"/>
      <c r="H513" s="72"/>
      <c r="I513" s="72"/>
      <c r="J513" s="75"/>
      <c r="K513" s="75">
        <f t="shared" si="152"/>
        <v>0</v>
      </c>
      <c r="L513" s="72"/>
      <c r="M513" s="76"/>
      <c r="N513" s="76"/>
      <c r="O513" s="76"/>
      <c r="P513" s="72"/>
      <c r="Q513" s="52"/>
      <c r="T513" s="52"/>
    </row>
    <row r="514" spans="1:20" s="56" customFormat="1" ht="12" x14ac:dyDescent="0.2">
      <c r="A514" s="95">
        <v>1014</v>
      </c>
      <c r="B514" s="80">
        <v>44348</v>
      </c>
      <c r="C514" s="74" t="s">
        <v>875</v>
      </c>
      <c r="D514" s="73" t="s">
        <v>81</v>
      </c>
      <c r="E514" s="76">
        <v>7200</v>
      </c>
      <c r="F514" s="75">
        <f>ROUND(T514*$T$10,2)</f>
        <v>1.03</v>
      </c>
      <c r="G514" s="75">
        <f>ROUND(F514*(1+$U$1),2)</f>
        <v>1.31</v>
      </c>
      <c r="H514" s="76">
        <f>ROUND(E514*G514,2)</f>
        <v>9432</v>
      </c>
      <c r="I514" s="76"/>
      <c r="J514" s="75">
        <v>7200</v>
      </c>
      <c r="K514" s="75">
        <f t="shared" si="152"/>
        <v>0</v>
      </c>
      <c r="L514" s="76">
        <f>ROUND(E514*F514,2)</f>
        <v>7416</v>
      </c>
      <c r="M514" s="76">
        <f>I514*G514</f>
        <v>0</v>
      </c>
      <c r="N514" s="76">
        <f>J514*G514</f>
        <v>9432</v>
      </c>
      <c r="O514" s="76">
        <f>H514-N514</f>
        <v>0</v>
      </c>
      <c r="P514" s="90">
        <f t="shared" ref="P514:P516" si="153">N514/H514</f>
        <v>1</v>
      </c>
      <c r="Q514" s="51"/>
      <c r="T514" s="53">
        <v>1.03</v>
      </c>
    </row>
    <row r="515" spans="1:20" s="56" customFormat="1" ht="12" x14ac:dyDescent="0.2">
      <c r="A515" s="95">
        <v>981</v>
      </c>
      <c r="B515" s="80">
        <v>44349</v>
      </c>
      <c r="C515" s="74" t="s">
        <v>876</v>
      </c>
      <c r="D515" s="73" t="s">
        <v>81</v>
      </c>
      <c r="E515" s="75">
        <v>750</v>
      </c>
      <c r="F515" s="75">
        <f>ROUND(T515*$T$10,2)</f>
        <v>1.84</v>
      </c>
      <c r="G515" s="75">
        <f>ROUND(F515*(1+$U$1),2)</f>
        <v>2.35</v>
      </c>
      <c r="H515" s="76">
        <f>ROUND(E515*G515,2)</f>
        <v>1762.5</v>
      </c>
      <c r="I515" s="75"/>
      <c r="J515" s="75">
        <v>750</v>
      </c>
      <c r="K515" s="75">
        <f t="shared" si="152"/>
        <v>0</v>
      </c>
      <c r="L515" s="76">
        <f>ROUND(E515*F515,2)</f>
        <v>1380</v>
      </c>
      <c r="M515" s="76">
        <f>I515*G515</f>
        <v>0</v>
      </c>
      <c r="N515" s="76">
        <f>J515*G515</f>
        <v>1762.5</v>
      </c>
      <c r="O515" s="76">
        <f>H515-N515</f>
        <v>0</v>
      </c>
      <c r="P515" s="90">
        <f t="shared" si="153"/>
        <v>1</v>
      </c>
      <c r="Q515" s="51"/>
      <c r="T515" s="53">
        <v>1.84</v>
      </c>
    </row>
    <row r="516" spans="1:20" s="56" customFormat="1" ht="12" x14ac:dyDescent="0.2">
      <c r="A516" s="95">
        <v>982</v>
      </c>
      <c r="B516" s="80">
        <v>44350</v>
      </c>
      <c r="C516" s="74" t="s">
        <v>877</v>
      </c>
      <c r="D516" s="73" t="s">
        <v>81</v>
      </c>
      <c r="E516" s="75">
        <v>300</v>
      </c>
      <c r="F516" s="75">
        <f>ROUND(T516*$T$10,2)</f>
        <v>2.57</v>
      </c>
      <c r="G516" s="75">
        <f>ROUND(F516*(1+$U$1),2)</f>
        <v>3.28</v>
      </c>
      <c r="H516" s="76">
        <f>ROUND(E516*G516,2)</f>
        <v>984</v>
      </c>
      <c r="I516" s="75"/>
      <c r="J516" s="75">
        <v>300</v>
      </c>
      <c r="K516" s="75">
        <f t="shared" si="152"/>
        <v>0</v>
      </c>
      <c r="L516" s="76">
        <f>ROUND(E516*F516,2)</f>
        <v>771</v>
      </c>
      <c r="M516" s="76">
        <f>I516*G516</f>
        <v>0</v>
      </c>
      <c r="N516" s="76">
        <f>J516*G516</f>
        <v>983.99999999999989</v>
      </c>
      <c r="O516" s="76">
        <f>H516-N516</f>
        <v>0</v>
      </c>
      <c r="P516" s="90">
        <f t="shared" si="153"/>
        <v>0.99999999999999989</v>
      </c>
      <c r="Q516" s="51"/>
      <c r="T516" s="53">
        <v>2.57</v>
      </c>
    </row>
    <row r="517" spans="1:20" s="56" customFormat="1" ht="48" x14ac:dyDescent="0.2">
      <c r="A517" s="72"/>
      <c r="B517" s="69"/>
      <c r="C517" s="74" t="s">
        <v>878</v>
      </c>
      <c r="D517" s="72"/>
      <c r="E517" s="72"/>
      <c r="F517" s="75"/>
      <c r="G517" s="72"/>
      <c r="H517" s="72"/>
      <c r="I517" s="72"/>
      <c r="J517" s="75"/>
      <c r="K517" s="75">
        <f t="shared" si="152"/>
        <v>0</v>
      </c>
      <c r="L517" s="72"/>
      <c r="M517" s="72"/>
      <c r="N517" s="72"/>
      <c r="O517" s="72"/>
      <c r="P517" s="72"/>
      <c r="Q517" s="52"/>
      <c r="T517" s="52"/>
    </row>
    <row r="518" spans="1:20" s="56" customFormat="1" ht="12" x14ac:dyDescent="0.2">
      <c r="A518" s="95">
        <v>994</v>
      </c>
      <c r="B518" s="80">
        <v>44351</v>
      </c>
      <c r="C518" s="74" t="s">
        <v>877</v>
      </c>
      <c r="D518" s="73" t="s">
        <v>81</v>
      </c>
      <c r="E518" s="75">
        <v>400</v>
      </c>
      <c r="F518" s="75">
        <f t="shared" ref="F518:F523" si="154">ROUND(T518*$T$10,2)</f>
        <v>3</v>
      </c>
      <c r="G518" s="75">
        <f t="shared" ref="G518:G523" si="155">ROUND(F518*(1+$U$1),2)</f>
        <v>3.83</v>
      </c>
      <c r="H518" s="76">
        <f t="shared" ref="H518:H523" si="156">ROUND(E518*G518,2)</f>
        <v>1532</v>
      </c>
      <c r="I518" s="75"/>
      <c r="J518" s="75">
        <v>400</v>
      </c>
      <c r="K518" s="75">
        <f t="shared" si="152"/>
        <v>0</v>
      </c>
      <c r="L518" s="76">
        <f t="shared" ref="L518:L523" si="157">ROUND(E518*F518,2)</f>
        <v>1200</v>
      </c>
      <c r="M518" s="76">
        <f t="shared" ref="M518:M523" si="158">I518*G518</f>
        <v>0</v>
      </c>
      <c r="N518" s="76">
        <f t="shared" ref="N518:N523" si="159">J518*G518</f>
        <v>1532</v>
      </c>
      <c r="O518" s="76">
        <f t="shared" ref="O518:O523" si="160">H518-N518</f>
        <v>0</v>
      </c>
      <c r="P518" s="90">
        <f t="shared" ref="P518:P523" si="161">N518/H518</f>
        <v>1</v>
      </c>
      <c r="Q518" s="51"/>
      <c r="T518" s="53">
        <v>3</v>
      </c>
    </row>
    <row r="519" spans="1:20" s="56" customFormat="1" ht="12" x14ac:dyDescent="0.2">
      <c r="A519" s="95">
        <v>1020</v>
      </c>
      <c r="B519" s="80">
        <v>44352</v>
      </c>
      <c r="C519" s="74" t="s">
        <v>879</v>
      </c>
      <c r="D519" s="73" t="s">
        <v>81</v>
      </c>
      <c r="E519" s="75">
        <v>100</v>
      </c>
      <c r="F519" s="75">
        <f t="shared" si="154"/>
        <v>4.8</v>
      </c>
      <c r="G519" s="75">
        <f t="shared" si="155"/>
        <v>6.12</v>
      </c>
      <c r="H519" s="76">
        <f t="shared" si="156"/>
        <v>612</v>
      </c>
      <c r="I519" s="75"/>
      <c r="J519" s="75">
        <v>100</v>
      </c>
      <c r="K519" s="75">
        <f t="shared" si="152"/>
        <v>0</v>
      </c>
      <c r="L519" s="76">
        <f t="shared" si="157"/>
        <v>480</v>
      </c>
      <c r="M519" s="76">
        <f t="shared" si="158"/>
        <v>0</v>
      </c>
      <c r="N519" s="76">
        <f t="shared" si="159"/>
        <v>612</v>
      </c>
      <c r="O519" s="76">
        <f t="shared" si="160"/>
        <v>0</v>
      </c>
      <c r="P519" s="90">
        <f t="shared" si="161"/>
        <v>1</v>
      </c>
      <c r="Q519" s="51"/>
      <c r="T519" s="53">
        <v>4.8</v>
      </c>
    </row>
    <row r="520" spans="1:20" s="56" customFormat="1" ht="12" x14ac:dyDescent="0.2">
      <c r="A520" s="95">
        <v>995</v>
      </c>
      <c r="B520" s="80">
        <v>44353</v>
      </c>
      <c r="C520" s="74" t="s">
        <v>880</v>
      </c>
      <c r="D520" s="73" t="s">
        <v>81</v>
      </c>
      <c r="E520" s="75">
        <v>500</v>
      </c>
      <c r="F520" s="75">
        <f t="shared" si="154"/>
        <v>7.37</v>
      </c>
      <c r="G520" s="75">
        <f t="shared" si="155"/>
        <v>9.4</v>
      </c>
      <c r="H520" s="76">
        <f t="shared" si="156"/>
        <v>4700</v>
      </c>
      <c r="I520" s="75"/>
      <c r="J520" s="75">
        <v>500</v>
      </c>
      <c r="K520" s="75">
        <f t="shared" si="152"/>
        <v>0</v>
      </c>
      <c r="L520" s="76">
        <f t="shared" si="157"/>
        <v>3685</v>
      </c>
      <c r="M520" s="76">
        <f t="shared" si="158"/>
        <v>0</v>
      </c>
      <c r="N520" s="76">
        <f t="shared" si="159"/>
        <v>4700</v>
      </c>
      <c r="O520" s="76">
        <f t="shared" si="160"/>
        <v>0</v>
      </c>
      <c r="P520" s="90">
        <f t="shared" si="161"/>
        <v>1</v>
      </c>
      <c r="Q520" s="51"/>
      <c r="T520" s="53">
        <v>7.37</v>
      </c>
    </row>
    <row r="521" spans="1:20" s="56" customFormat="1" ht="12" x14ac:dyDescent="0.2">
      <c r="A521" s="95">
        <v>996</v>
      </c>
      <c r="B521" s="80">
        <v>44354</v>
      </c>
      <c r="C521" s="74" t="s">
        <v>881</v>
      </c>
      <c r="D521" s="73" t="s">
        <v>81</v>
      </c>
      <c r="E521" s="75">
        <v>25</v>
      </c>
      <c r="F521" s="75">
        <f t="shared" si="154"/>
        <v>11.21</v>
      </c>
      <c r="G521" s="75">
        <f t="shared" si="155"/>
        <v>14.3</v>
      </c>
      <c r="H521" s="76">
        <f t="shared" si="156"/>
        <v>357.5</v>
      </c>
      <c r="I521" s="75"/>
      <c r="J521" s="75">
        <v>25</v>
      </c>
      <c r="K521" s="75">
        <f t="shared" si="152"/>
        <v>0</v>
      </c>
      <c r="L521" s="76">
        <f t="shared" si="157"/>
        <v>280.25</v>
      </c>
      <c r="M521" s="76">
        <f t="shared" si="158"/>
        <v>0</v>
      </c>
      <c r="N521" s="76">
        <f t="shared" si="159"/>
        <v>357.5</v>
      </c>
      <c r="O521" s="76">
        <f t="shared" si="160"/>
        <v>0</v>
      </c>
      <c r="P521" s="90">
        <f t="shared" si="161"/>
        <v>1</v>
      </c>
      <c r="Q521" s="51"/>
      <c r="T521" s="53">
        <v>11.21</v>
      </c>
    </row>
    <row r="522" spans="1:20" s="56" customFormat="1" ht="12" x14ac:dyDescent="0.2">
      <c r="A522" s="95">
        <v>1019</v>
      </c>
      <c r="B522" s="80">
        <v>44355</v>
      </c>
      <c r="C522" s="74" t="s">
        <v>882</v>
      </c>
      <c r="D522" s="73" t="s">
        <v>81</v>
      </c>
      <c r="E522" s="75">
        <v>125</v>
      </c>
      <c r="F522" s="75">
        <f t="shared" si="154"/>
        <v>15.46</v>
      </c>
      <c r="G522" s="75">
        <f t="shared" si="155"/>
        <v>19.73</v>
      </c>
      <c r="H522" s="76">
        <f t="shared" si="156"/>
        <v>2466.25</v>
      </c>
      <c r="I522" s="75"/>
      <c r="J522" s="75">
        <v>125</v>
      </c>
      <c r="K522" s="75">
        <f t="shared" si="152"/>
        <v>0</v>
      </c>
      <c r="L522" s="76">
        <f t="shared" si="157"/>
        <v>1932.5</v>
      </c>
      <c r="M522" s="76">
        <f t="shared" si="158"/>
        <v>0</v>
      </c>
      <c r="N522" s="76">
        <f t="shared" si="159"/>
        <v>2466.25</v>
      </c>
      <c r="O522" s="76">
        <f t="shared" si="160"/>
        <v>0</v>
      </c>
      <c r="P522" s="90">
        <f t="shared" si="161"/>
        <v>1</v>
      </c>
      <c r="Q522" s="51"/>
      <c r="T522" s="53">
        <v>15.46</v>
      </c>
    </row>
    <row r="523" spans="1:20" s="56" customFormat="1" ht="12" x14ac:dyDescent="0.2">
      <c r="A523" s="95">
        <v>1018</v>
      </c>
      <c r="B523" s="80">
        <v>44356</v>
      </c>
      <c r="C523" s="74" t="s">
        <v>883</v>
      </c>
      <c r="D523" s="73" t="s">
        <v>81</v>
      </c>
      <c r="E523" s="75">
        <v>130</v>
      </c>
      <c r="F523" s="75">
        <f t="shared" si="154"/>
        <v>22.04</v>
      </c>
      <c r="G523" s="75">
        <f t="shared" si="155"/>
        <v>28.12</v>
      </c>
      <c r="H523" s="76">
        <f t="shared" si="156"/>
        <v>3655.6</v>
      </c>
      <c r="I523" s="75">
        <v>130</v>
      </c>
      <c r="J523" s="75">
        <f>I523</f>
        <v>130</v>
      </c>
      <c r="K523" s="75">
        <f t="shared" si="152"/>
        <v>0</v>
      </c>
      <c r="L523" s="76">
        <f t="shared" si="157"/>
        <v>2865.2</v>
      </c>
      <c r="M523" s="76">
        <f t="shared" si="158"/>
        <v>3655.6</v>
      </c>
      <c r="N523" s="76">
        <f t="shared" si="159"/>
        <v>3655.6</v>
      </c>
      <c r="O523" s="76">
        <f t="shared" si="160"/>
        <v>0</v>
      </c>
      <c r="P523" s="90">
        <f t="shared" si="161"/>
        <v>1</v>
      </c>
      <c r="Q523" s="51"/>
      <c r="T523" s="53">
        <v>22.04</v>
      </c>
    </row>
    <row r="524" spans="1:20" s="56" customFormat="1" ht="36" x14ac:dyDescent="0.2">
      <c r="A524" s="72"/>
      <c r="B524" s="69"/>
      <c r="C524" s="74" t="s">
        <v>884</v>
      </c>
      <c r="D524" s="72"/>
      <c r="E524" s="72"/>
      <c r="F524" s="75"/>
      <c r="G524" s="72"/>
      <c r="H524" s="72"/>
      <c r="I524" s="72"/>
      <c r="J524" s="75"/>
      <c r="K524" s="75">
        <f t="shared" si="152"/>
        <v>0</v>
      </c>
      <c r="L524" s="72"/>
      <c r="M524" s="72"/>
      <c r="N524" s="72"/>
      <c r="O524" s="72"/>
      <c r="P524" s="72"/>
      <c r="Q524" s="52"/>
      <c r="T524" s="52"/>
    </row>
    <row r="525" spans="1:20" s="56" customFormat="1" ht="12" x14ac:dyDescent="0.2">
      <c r="A525" s="94">
        <v>39257</v>
      </c>
      <c r="B525" s="87">
        <v>40350</v>
      </c>
      <c r="C525" s="74" t="s">
        <v>885</v>
      </c>
      <c r="D525" s="73" t="s">
        <v>81</v>
      </c>
      <c r="E525" s="75">
        <v>50</v>
      </c>
      <c r="F525" s="75">
        <f>ROUND(T525*$T$10,2)</f>
        <v>2.81</v>
      </c>
      <c r="G525" s="75">
        <f>ROUND(F525*(1+$U$1),2)</f>
        <v>3.59</v>
      </c>
      <c r="H525" s="76">
        <f>ROUND(E525*G525,2)</f>
        <v>179.5</v>
      </c>
      <c r="I525" s="75"/>
      <c r="J525" s="75">
        <v>50</v>
      </c>
      <c r="K525" s="75">
        <f t="shared" si="152"/>
        <v>0</v>
      </c>
      <c r="L525" s="76">
        <f>ROUND(E525*F525,2)</f>
        <v>140.5</v>
      </c>
      <c r="M525" s="76">
        <f>I525*G525</f>
        <v>0</v>
      </c>
      <c r="N525" s="76">
        <f>J525*G525</f>
        <v>179.5</v>
      </c>
      <c r="O525" s="76">
        <f>H525-N525</f>
        <v>0</v>
      </c>
      <c r="P525" s="90">
        <f t="shared" ref="P525:P526" si="162">N525/H525</f>
        <v>1</v>
      </c>
      <c r="Q525" s="51"/>
      <c r="T525" s="53">
        <v>2.81</v>
      </c>
    </row>
    <row r="526" spans="1:20" s="56" customFormat="1" ht="12" x14ac:dyDescent="0.2">
      <c r="A526" s="94">
        <v>39258</v>
      </c>
      <c r="B526" s="87">
        <v>40715</v>
      </c>
      <c r="C526" s="74" t="s">
        <v>886</v>
      </c>
      <c r="D526" s="73" t="s">
        <v>81</v>
      </c>
      <c r="E526" s="75">
        <v>60</v>
      </c>
      <c r="F526" s="75">
        <f>ROUND(T526*$T$10,2)</f>
        <v>4.17</v>
      </c>
      <c r="G526" s="75">
        <f>ROUND(F526*(1+$U$1),2)</f>
        <v>5.32</v>
      </c>
      <c r="H526" s="76">
        <f>ROUND(E526*G526,2)</f>
        <v>319.2</v>
      </c>
      <c r="I526" s="75"/>
      <c r="J526" s="75">
        <v>60</v>
      </c>
      <c r="K526" s="75">
        <f t="shared" si="152"/>
        <v>0</v>
      </c>
      <c r="L526" s="76">
        <f>ROUND(E526*F526,2)</f>
        <v>250.2</v>
      </c>
      <c r="M526" s="76">
        <f>I526*G526</f>
        <v>0</v>
      </c>
      <c r="N526" s="76">
        <f>J526*G526</f>
        <v>319.20000000000005</v>
      </c>
      <c r="O526" s="76">
        <f>H526-N526</f>
        <v>0</v>
      </c>
      <c r="P526" s="90">
        <f t="shared" si="162"/>
        <v>1.0000000000000002</v>
      </c>
      <c r="Q526" s="51"/>
      <c r="T526" s="53">
        <v>4.17</v>
      </c>
    </row>
    <row r="527" spans="1:20" s="56" customFormat="1" ht="12" x14ac:dyDescent="0.2">
      <c r="A527" s="72"/>
      <c r="B527" s="71"/>
      <c r="C527" s="71"/>
      <c r="D527" s="71"/>
      <c r="E527" s="71"/>
      <c r="F527" s="75"/>
      <c r="G527" s="77" t="s">
        <v>887</v>
      </c>
      <c r="H527" s="78">
        <f>SUM(H514:H526)</f>
        <v>26000.55</v>
      </c>
      <c r="I527" s="71"/>
      <c r="J527" s="75"/>
      <c r="K527" s="75">
        <f t="shared" si="152"/>
        <v>0</v>
      </c>
      <c r="L527" s="78">
        <f>SUM(L514:L526)</f>
        <v>20400.650000000001</v>
      </c>
      <c r="M527" s="78">
        <f>SUM(M514:M526)</f>
        <v>3655.6</v>
      </c>
      <c r="N527" s="78">
        <f>SUM(N514:N526)</f>
        <v>26000.55</v>
      </c>
      <c r="O527" s="78">
        <f>SUM(O514:O526)</f>
        <v>0</v>
      </c>
      <c r="P527" s="91">
        <f>N527/H527</f>
        <v>1</v>
      </c>
      <c r="Q527" s="60"/>
      <c r="T527" s="59"/>
    </row>
    <row r="528" spans="1:20" s="56" customFormat="1" ht="12" x14ac:dyDescent="0.2">
      <c r="A528" s="72"/>
      <c r="B528" s="70" t="s">
        <v>888</v>
      </c>
      <c r="C528" s="71" t="s">
        <v>889</v>
      </c>
      <c r="D528" s="72"/>
      <c r="E528" s="72"/>
      <c r="F528" s="75"/>
      <c r="G528" s="72"/>
      <c r="H528" s="72"/>
      <c r="I528" s="72"/>
      <c r="J528" s="75"/>
      <c r="K528" s="75">
        <f t="shared" si="152"/>
        <v>0</v>
      </c>
      <c r="L528" s="72"/>
      <c r="M528" s="72"/>
      <c r="N528" s="72"/>
      <c r="O528" s="72"/>
      <c r="P528" s="72"/>
      <c r="Q528" s="52"/>
      <c r="T528" s="52"/>
    </row>
    <row r="529" spans="1:20" s="56" customFormat="1" ht="12" x14ac:dyDescent="0.2">
      <c r="A529" s="94">
        <v>2574</v>
      </c>
      <c r="B529" s="80">
        <v>44378</v>
      </c>
      <c r="C529" s="74" t="s">
        <v>890</v>
      </c>
      <c r="D529" s="73" t="s">
        <v>102</v>
      </c>
      <c r="E529" s="75">
        <v>8</v>
      </c>
      <c r="F529" s="75">
        <f t="shared" ref="F529:F541" si="163">ROUND(T529*$T$10,2)</f>
        <v>8.1999999999999993</v>
      </c>
      <c r="G529" s="75">
        <f t="shared" ref="G529:G541" si="164">ROUND(F529*(1+$U$1),2)</f>
        <v>10.46</v>
      </c>
      <c r="H529" s="76">
        <f t="shared" ref="H529:H541" si="165">ROUND(E529*G529,2)</f>
        <v>83.68</v>
      </c>
      <c r="I529" s="75"/>
      <c r="J529" s="75">
        <v>8</v>
      </c>
      <c r="K529" s="75">
        <f t="shared" si="152"/>
        <v>0</v>
      </c>
      <c r="L529" s="76">
        <f t="shared" ref="L529:L541" si="166">ROUND(E529*F529,2)</f>
        <v>65.599999999999994</v>
      </c>
      <c r="M529" s="76">
        <f t="shared" ref="M529:M541" si="167">I529*G529</f>
        <v>0</v>
      </c>
      <c r="N529" s="76">
        <f t="shared" ref="N529:N541" si="168">J529*G529</f>
        <v>83.68</v>
      </c>
      <c r="O529" s="76">
        <f t="shared" ref="O529:O541" si="169">H529-N529</f>
        <v>0</v>
      </c>
      <c r="P529" s="90">
        <f t="shared" ref="P529:P541" si="170">N529/H529</f>
        <v>1</v>
      </c>
      <c r="Q529" s="51"/>
      <c r="T529" s="53">
        <v>8.1999999999999993</v>
      </c>
    </row>
    <row r="530" spans="1:20" s="56" customFormat="1" ht="12" x14ac:dyDescent="0.2">
      <c r="A530" s="94">
        <v>2559</v>
      </c>
      <c r="B530" s="80">
        <v>44379</v>
      </c>
      <c r="C530" s="74" t="s">
        <v>891</v>
      </c>
      <c r="D530" s="73" t="s">
        <v>102</v>
      </c>
      <c r="E530" s="75">
        <v>12</v>
      </c>
      <c r="F530" s="75">
        <f t="shared" si="163"/>
        <v>8.5</v>
      </c>
      <c r="G530" s="75">
        <f t="shared" si="164"/>
        <v>10.85</v>
      </c>
      <c r="H530" s="76">
        <f t="shared" si="165"/>
        <v>130.19999999999999</v>
      </c>
      <c r="I530" s="75"/>
      <c r="J530" s="75">
        <v>12</v>
      </c>
      <c r="K530" s="75">
        <f t="shared" si="152"/>
        <v>0</v>
      </c>
      <c r="L530" s="76">
        <f t="shared" si="166"/>
        <v>102</v>
      </c>
      <c r="M530" s="76">
        <f t="shared" si="167"/>
        <v>0</v>
      </c>
      <c r="N530" s="76">
        <f t="shared" si="168"/>
        <v>130.19999999999999</v>
      </c>
      <c r="O530" s="76">
        <f t="shared" si="169"/>
        <v>0</v>
      </c>
      <c r="P530" s="90">
        <f t="shared" si="170"/>
        <v>1</v>
      </c>
      <c r="Q530" s="51"/>
      <c r="T530" s="53">
        <v>8.5</v>
      </c>
    </row>
    <row r="531" spans="1:20" s="56" customFormat="1" ht="12" x14ac:dyDescent="0.2">
      <c r="A531" s="94">
        <v>2565</v>
      </c>
      <c r="B531" s="80">
        <v>44380</v>
      </c>
      <c r="C531" s="74" t="s">
        <v>892</v>
      </c>
      <c r="D531" s="73" t="s">
        <v>102</v>
      </c>
      <c r="E531" s="75">
        <v>14</v>
      </c>
      <c r="F531" s="75">
        <f t="shared" si="163"/>
        <v>6.88</v>
      </c>
      <c r="G531" s="75">
        <f t="shared" si="164"/>
        <v>8.7799999999999994</v>
      </c>
      <c r="H531" s="76">
        <f t="shared" si="165"/>
        <v>122.92</v>
      </c>
      <c r="I531" s="75"/>
      <c r="J531" s="75">
        <v>14</v>
      </c>
      <c r="K531" s="75">
        <f t="shared" si="152"/>
        <v>0</v>
      </c>
      <c r="L531" s="76">
        <f t="shared" si="166"/>
        <v>96.32</v>
      </c>
      <c r="M531" s="76">
        <f t="shared" si="167"/>
        <v>0</v>
      </c>
      <c r="N531" s="76">
        <f t="shared" si="168"/>
        <v>122.91999999999999</v>
      </c>
      <c r="O531" s="76">
        <f t="shared" si="169"/>
        <v>0</v>
      </c>
      <c r="P531" s="90">
        <f t="shared" si="170"/>
        <v>0.99999999999999989</v>
      </c>
      <c r="Q531" s="51"/>
      <c r="T531" s="53">
        <v>6.88</v>
      </c>
    </row>
    <row r="532" spans="1:20" s="56" customFormat="1" ht="12" x14ac:dyDescent="0.2">
      <c r="A532" s="94">
        <v>2580</v>
      </c>
      <c r="B532" s="80">
        <v>44381</v>
      </c>
      <c r="C532" s="74" t="s">
        <v>893</v>
      </c>
      <c r="D532" s="73" t="s">
        <v>102</v>
      </c>
      <c r="E532" s="75">
        <v>3</v>
      </c>
      <c r="F532" s="75">
        <f t="shared" si="163"/>
        <v>10.83</v>
      </c>
      <c r="G532" s="75">
        <f t="shared" si="164"/>
        <v>13.82</v>
      </c>
      <c r="H532" s="76">
        <f t="shared" si="165"/>
        <v>41.46</v>
      </c>
      <c r="I532" s="75"/>
      <c r="J532" s="75">
        <v>3</v>
      </c>
      <c r="K532" s="75">
        <f t="shared" si="152"/>
        <v>0</v>
      </c>
      <c r="L532" s="76">
        <f t="shared" si="166"/>
        <v>32.49</v>
      </c>
      <c r="M532" s="76">
        <f t="shared" si="167"/>
        <v>0</v>
      </c>
      <c r="N532" s="76">
        <f t="shared" si="168"/>
        <v>41.46</v>
      </c>
      <c r="O532" s="76">
        <f t="shared" si="169"/>
        <v>0</v>
      </c>
      <c r="P532" s="90">
        <f t="shared" si="170"/>
        <v>1</v>
      </c>
      <c r="Q532" s="51"/>
      <c r="T532" s="53">
        <v>10.83</v>
      </c>
    </row>
    <row r="533" spans="1:20" s="56" customFormat="1" ht="12" x14ac:dyDescent="0.2">
      <c r="A533" s="94">
        <v>2593</v>
      </c>
      <c r="B533" s="80">
        <v>44382</v>
      </c>
      <c r="C533" s="74" t="s">
        <v>894</v>
      </c>
      <c r="D533" s="73" t="s">
        <v>102</v>
      </c>
      <c r="E533" s="75">
        <v>5</v>
      </c>
      <c r="F533" s="75">
        <f t="shared" si="163"/>
        <v>7.11</v>
      </c>
      <c r="G533" s="75">
        <f t="shared" si="164"/>
        <v>9.07</v>
      </c>
      <c r="H533" s="76">
        <f t="shared" si="165"/>
        <v>45.35</v>
      </c>
      <c r="I533" s="75"/>
      <c r="J533" s="75">
        <v>5</v>
      </c>
      <c r="K533" s="75">
        <f t="shared" si="152"/>
        <v>0</v>
      </c>
      <c r="L533" s="76">
        <f t="shared" si="166"/>
        <v>35.549999999999997</v>
      </c>
      <c r="M533" s="76">
        <f t="shared" si="167"/>
        <v>0</v>
      </c>
      <c r="N533" s="76">
        <f t="shared" si="168"/>
        <v>45.35</v>
      </c>
      <c r="O533" s="76">
        <f t="shared" si="169"/>
        <v>0</v>
      </c>
      <c r="P533" s="90">
        <f t="shared" si="170"/>
        <v>1</v>
      </c>
      <c r="Q533" s="51"/>
      <c r="T533" s="53">
        <v>7.11</v>
      </c>
    </row>
    <row r="534" spans="1:20" s="56" customFormat="1" ht="24" x14ac:dyDescent="0.2">
      <c r="A534" s="94">
        <v>39346</v>
      </c>
      <c r="B534" s="80">
        <v>44383</v>
      </c>
      <c r="C534" s="74" t="s">
        <v>895</v>
      </c>
      <c r="D534" s="73" t="s">
        <v>102</v>
      </c>
      <c r="E534" s="75">
        <v>8</v>
      </c>
      <c r="F534" s="75">
        <f t="shared" si="163"/>
        <v>2.09</v>
      </c>
      <c r="G534" s="75">
        <f t="shared" si="164"/>
        <v>2.67</v>
      </c>
      <c r="H534" s="76">
        <f t="shared" si="165"/>
        <v>21.36</v>
      </c>
      <c r="I534" s="75"/>
      <c r="J534" s="75">
        <v>8</v>
      </c>
      <c r="K534" s="75">
        <f t="shared" si="152"/>
        <v>0</v>
      </c>
      <c r="L534" s="76">
        <f t="shared" si="166"/>
        <v>16.72</v>
      </c>
      <c r="M534" s="76">
        <f t="shared" si="167"/>
        <v>0</v>
      </c>
      <c r="N534" s="76">
        <f t="shared" si="168"/>
        <v>21.36</v>
      </c>
      <c r="O534" s="76">
        <f t="shared" si="169"/>
        <v>0</v>
      </c>
      <c r="P534" s="90">
        <f t="shared" si="170"/>
        <v>1</v>
      </c>
      <c r="Q534" s="51"/>
      <c r="T534" s="53">
        <v>2.09</v>
      </c>
    </row>
    <row r="535" spans="1:20" s="56" customFormat="1" ht="12" x14ac:dyDescent="0.2">
      <c r="A535" s="94">
        <v>7543</v>
      </c>
      <c r="B535" s="80">
        <v>44384</v>
      </c>
      <c r="C535" s="74" t="s">
        <v>896</v>
      </c>
      <c r="D535" s="73" t="s">
        <v>102</v>
      </c>
      <c r="E535" s="75">
        <v>14</v>
      </c>
      <c r="F535" s="75">
        <f t="shared" si="163"/>
        <v>3.39</v>
      </c>
      <c r="G535" s="75">
        <f t="shared" si="164"/>
        <v>4.33</v>
      </c>
      <c r="H535" s="76">
        <f t="shared" si="165"/>
        <v>60.62</v>
      </c>
      <c r="I535" s="75"/>
      <c r="J535" s="75">
        <v>14</v>
      </c>
      <c r="K535" s="75">
        <f t="shared" si="152"/>
        <v>0</v>
      </c>
      <c r="L535" s="76">
        <f t="shared" si="166"/>
        <v>47.46</v>
      </c>
      <c r="M535" s="76">
        <f t="shared" si="167"/>
        <v>0</v>
      </c>
      <c r="N535" s="76">
        <f t="shared" si="168"/>
        <v>60.620000000000005</v>
      </c>
      <c r="O535" s="76">
        <f t="shared" si="169"/>
        <v>0</v>
      </c>
      <c r="P535" s="90">
        <f t="shared" si="170"/>
        <v>1.0000000000000002</v>
      </c>
      <c r="Q535" s="51"/>
      <c r="T535" s="53">
        <v>3.39</v>
      </c>
    </row>
    <row r="536" spans="1:20" s="56" customFormat="1" ht="12" x14ac:dyDescent="0.2">
      <c r="A536" s="94">
        <v>39351</v>
      </c>
      <c r="B536" s="80">
        <v>44385</v>
      </c>
      <c r="C536" s="74" t="s">
        <v>897</v>
      </c>
      <c r="D536" s="73" t="s">
        <v>102</v>
      </c>
      <c r="E536" s="75">
        <v>20</v>
      </c>
      <c r="F536" s="75">
        <f t="shared" si="163"/>
        <v>2.6</v>
      </c>
      <c r="G536" s="75">
        <f t="shared" si="164"/>
        <v>3.32</v>
      </c>
      <c r="H536" s="76">
        <f t="shared" si="165"/>
        <v>66.400000000000006</v>
      </c>
      <c r="I536" s="75"/>
      <c r="J536" s="75">
        <v>20</v>
      </c>
      <c r="K536" s="75">
        <f t="shared" si="152"/>
        <v>0</v>
      </c>
      <c r="L536" s="76">
        <f t="shared" si="166"/>
        <v>52</v>
      </c>
      <c r="M536" s="76">
        <f t="shared" si="167"/>
        <v>0</v>
      </c>
      <c r="N536" s="76">
        <f t="shared" si="168"/>
        <v>66.399999999999991</v>
      </c>
      <c r="O536" s="76">
        <f t="shared" si="169"/>
        <v>0</v>
      </c>
      <c r="P536" s="90">
        <f t="shared" si="170"/>
        <v>0.99999999999999978</v>
      </c>
      <c r="Q536" s="51"/>
      <c r="T536" s="53">
        <v>2.6</v>
      </c>
    </row>
    <row r="537" spans="1:20" s="56" customFormat="1" ht="12" x14ac:dyDescent="0.2">
      <c r="A537" s="73" t="s">
        <v>308</v>
      </c>
      <c r="B537" s="80">
        <v>44386</v>
      </c>
      <c r="C537" s="74" t="s">
        <v>898</v>
      </c>
      <c r="D537" s="73" t="s">
        <v>102</v>
      </c>
      <c r="E537" s="75">
        <v>300</v>
      </c>
      <c r="F537" s="75">
        <f t="shared" si="163"/>
        <v>4.9000000000000004</v>
      </c>
      <c r="G537" s="75">
        <f t="shared" si="164"/>
        <v>6.25</v>
      </c>
      <c r="H537" s="76">
        <f t="shared" si="165"/>
        <v>1875</v>
      </c>
      <c r="I537" s="75"/>
      <c r="J537" s="75">
        <v>300</v>
      </c>
      <c r="K537" s="75">
        <f t="shared" si="152"/>
        <v>0</v>
      </c>
      <c r="L537" s="76">
        <f t="shared" si="166"/>
        <v>1470</v>
      </c>
      <c r="M537" s="76">
        <f t="shared" si="167"/>
        <v>0</v>
      </c>
      <c r="N537" s="76">
        <f t="shared" si="168"/>
        <v>1875</v>
      </c>
      <c r="O537" s="76">
        <f t="shared" si="169"/>
        <v>0</v>
      </c>
      <c r="P537" s="90">
        <f t="shared" si="170"/>
        <v>1</v>
      </c>
      <c r="Q537" s="51"/>
      <c r="T537" s="53">
        <v>4.9000000000000004</v>
      </c>
    </row>
    <row r="538" spans="1:20" s="56" customFormat="1" ht="12" x14ac:dyDescent="0.2">
      <c r="A538" s="73" t="s">
        <v>308</v>
      </c>
      <c r="B538" s="87">
        <v>40380</v>
      </c>
      <c r="C538" s="74" t="s">
        <v>899</v>
      </c>
      <c r="D538" s="73" t="s">
        <v>102</v>
      </c>
      <c r="E538" s="75">
        <v>150</v>
      </c>
      <c r="F538" s="75">
        <f t="shared" si="163"/>
        <v>9.0500000000000007</v>
      </c>
      <c r="G538" s="75">
        <f t="shared" si="164"/>
        <v>11.55</v>
      </c>
      <c r="H538" s="76">
        <f t="shared" si="165"/>
        <v>1732.5</v>
      </c>
      <c r="I538" s="75"/>
      <c r="J538" s="75">
        <v>150</v>
      </c>
      <c r="K538" s="75">
        <f t="shared" si="152"/>
        <v>0</v>
      </c>
      <c r="L538" s="76">
        <f t="shared" si="166"/>
        <v>1357.5</v>
      </c>
      <c r="M538" s="76">
        <f t="shared" si="167"/>
        <v>0</v>
      </c>
      <c r="N538" s="76">
        <f t="shared" si="168"/>
        <v>1732.5</v>
      </c>
      <c r="O538" s="76">
        <f t="shared" si="169"/>
        <v>0</v>
      </c>
      <c r="P538" s="90">
        <f t="shared" si="170"/>
        <v>1</v>
      </c>
      <c r="Q538" s="51"/>
      <c r="T538" s="53">
        <v>9.0500000000000007</v>
      </c>
    </row>
    <row r="539" spans="1:20" s="56" customFormat="1" ht="12" x14ac:dyDescent="0.2">
      <c r="A539" s="94">
        <v>39771</v>
      </c>
      <c r="B539" s="87">
        <v>40745</v>
      </c>
      <c r="C539" s="74" t="s">
        <v>900</v>
      </c>
      <c r="D539" s="73" t="s">
        <v>102</v>
      </c>
      <c r="E539" s="75">
        <v>3</v>
      </c>
      <c r="F539" s="75">
        <f t="shared" si="163"/>
        <v>15.43</v>
      </c>
      <c r="G539" s="75">
        <f t="shared" si="164"/>
        <v>19.690000000000001</v>
      </c>
      <c r="H539" s="76">
        <f t="shared" si="165"/>
        <v>59.07</v>
      </c>
      <c r="I539" s="75"/>
      <c r="J539" s="75">
        <v>3</v>
      </c>
      <c r="K539" s="75">
        <f t="shared" si="152"/>
        <v>0</v>
      </c>
      <c r="L539" s="76">
        <f t="shared" si="166"/>
        <v>46.29</v>
      </c>
      <c r="M539" s="76">
        <f t="shared" si="167"/>
        <v>0</v>
      </c>
      <c r="N539" s="76">
        <f t="shared" si="168"/>
        <v>59.070000000000007</v>
      </c>
      <c r="O539" s="76">
        <f t="shared" si="169"/>
        <v>0</v>
      </c>
      <c r="P539" s="90">
        <f t="shared" si="170"/>
        <v>1.0000000000000002</v>
      </c>
      <c r="Q539" s="51"/>
      <c r="T539" s="53">
        <v>15.43</v>
      </c>
    </row>
    <row r="540" spans="1:20" s="56" customFormat="1" ht="12" x14ac:dyDescent="0.2">
      <c r="A540" s="73" t="s">
        <v>901</v>
      </c>
      <c r="B540" s="87">
        <v>41111</v>
      </c>
      <c r="C540" s="74" t="s">
        <v>902</v>
      </c>
      <c r="D540" s="73" t="s">
        <v>102</v>
      </c>
      <c r="E540" s="75">
        <v>8</v>
      </c>
      <c r="F540" s="75">
        <f t="shared" si="163"/>
        <v>80.319999999999993</v>
      </c>
      <c r="G540" s="75">
        <f t="shared" si="164"/>
        <v>102.48</v>
      </c>
      <c r="H540" s="76">
        <f t="shared" si="165"/>
        <v>819.84</v>
      </c>
      <c r="I540" s="75"/>
      <c r="J540" s="75">
        <v>8</v>
      </c>
      <c r="K540" s="75">
        <f t="shared" si="152"/>
        <v>0</v>
      </c>
      <c r="L540" s="76">
        <f t="shared" si="166"/>
        <v>642.55999999999995</v>
      </c>
      <c r="M540" s="76">
        <f t="shared" si="167"/>
        <v>0</v>
      </c>
      <c r="N540" s="76">
        <f t="shared" si="168"/>
        <v>819.84</v>
      </c>
      <c r="O540" s="76">
        <f t="shared" si="169"/>
        <v>0</v>
      </c>
      <c r="P540" s="90">
        <f t="shared" si="170"/>
        <v>1</v>
      </c>
      <c r="Q540" s="51"/>
      <c r="T540" s="53">
        <v>80.319999999999993</v>
      </c>
    </row>
    <row r="541" spans="1:20" s="56" customFormat="1" ht="12" x14ac:dyDescent="0.2">
      <c r="A541" s="73" t="s">
        <v>696</v>
      </c>
      <c r="B541" s="87">
        <v>41476</v>
      </c>
      <c r="C541" s="74" t="s">
        <v>903</v>
      </c>
      <c r="D541" s="73" t="s">
        <v>102</v>
      </c>
      <c r="E541" s="75">
        <v>8</v>
      </c>
      <c r="F541" s="75">
        <f t="shared" si="163"/>
        <v>165.35</v>
      </c>
      <c r="G541" s="75">
        <f t="shared" si="164"/>
        <v>210.97</v>
      </c>
      <c r="H541" s="76">
        <f t="shared" si="165"/>
        <v>1687.76</v>
      </c>
      <c r="I541" s="75"/>
      <c r="J541" s="75">
        <v>8</v>
      </c>
      <c r="K541" s="75">
        <f t="shared" si="152"/>
        <v>0</v>
      </c>
      <c r="L541" s="76">
        <f t="shared" si="166"/>
        <v>1322.8</v>
      </c>
      <c r="M541" s="76">
        <f t="shared" si="167"/>
        <v>0</v>
      </c>
      <c r="N541" s="76">
        <f t="shared" si="168"/>
        <v>1687.76</v>
      </c>
      <c r="O541" s="76">
        <f t="shared" si="169"/>
        <v>0</v>
      </c>
      <c r="P541" s="90">
        <f t="shared" si="170"/>
        <v>1</v>
      </c>
      <c r="Q541" s="51"/>
      <c r="T541" s="53">
        <v>165.35</v>
      </c>
    </row>
    <row r="542" spans="1:20" s="56" customFormat="1" ht="12" x14ac:dyDescent="0.2">
      <c r="A542" s="72"/>
      <c r="B542" s="71"/>
      <c r="C542" s="71"/>
      <c r="D542" s="71"/>
      <c r="E542" s="71"/>
      <c r="F542" s="75"/>
      <c r="G542" s="77" t="s">
        <v>904</v>
      </c>
      <c r="H542" s="78">
        <f>SUM(H529:H541)</f>
        <v>6746.16</v>
      </c>
      <c r="I542" s="71"/>
      <c r="J542" s="75">
        <v>0</v>
      </c>
      <c r="K542" s="75">
        <f t="shared" si="152"/>
        <v>0</v>
      </c>
      <c r="L542" s="78">
        <f>SUM(L529:L541)</f>
        <v>5287.29</v>
      </c>
      <c r="M542" s="78">
        <f>SUM(M529:M541)</f>
        <v>0</v>
      </c>
      <c r="N542" s="78">
        <f>SUM(N529:N541)</f>
        <v>6746.16</v>
      </c>
      <c r="O542" s="78">
        <f>SUM(O529:O541)</f>
        <v>0</v>
      </c>
      <c r="P542" s="91">
        <f>N542/H542</f>
        <v>1</v>
      </c>
      <c r="Q542" s="60"/>
      <c r="T542" s="59"/>
    </row>
    <row r="543" spans="1:20" s="56" customFormat="1" ht="12" x14ac:dyDescent="0.2">
      <c r="A543" s="72"/>
      <c r="B543" s="70" t="s">
        <v>905</v>
      </c>
      <c r="C543" s="71" t="s">
        <v>906</v>
      </c>
      <c r="D543" s="72"/>
      <c r="E543" s="72"/>
      <c r="F543" s="75"/>
      <c r="G543" s="72"/>
      <c r="H543" s="72"/>
      <c r="I543" s="72"/>
      <c r="J543" s="75">
        <v>0</v>
      </c>
      <c r="K543" s="75">
        <f t="shared" si="152"/>
        <v>0</v>
      </c>
      <c r="L543" s="72"/>
      <c r="M543" s="72"/>
      <c r="N543" s="72"/>
      <c r="O543" s="72"/>
      <c r="P543" s="72"/>
      <c r="Q543" s="52"/>
      <c r="T543" s="52"/>
    </row>
    <row r="544" spans="1:20" s="56" customFormat="1" ht="24" x14ac:dyDescent="0.2">
      <c r="A544" s="73" t="s">
        <v>308</v>
      </c>
      <c r="B544" s="80">
        <v>44409</v>
      </c>
      <c r="C544" s="74" t="s">
        <v>907</v>
      </c>
      <c r="D544" s="73" t="s">
        <v>102</v>
      </c>
      <c r="E544" s="75">
        <v>4</v>
      </c>
      <c r="F544" s="75">
        <f t="shared" ref="F544:F555" si="171">ROUND(T544*$T$10,2)</f>
        <v>53.79</v>
      </c>
      <c r="G544" s="75">
        <f t="shared" ref="G544:G555" si="172">ROUND(F544*(1+$U$1),2)</f>
        <v>68.63</v>
      </c>
      <c r="H544" s="76">
        <f t="shared" ref="H544:H555" si="173">ROUND(E544*G544,2)</f>
        <v>274.52</v>
      </c>
      <c r="I544" s="75">
        <v>4</v>
      </c>
      <c r="J544" s="75">
        <f>I544</f>
        <v>4</v>
      </c>
      <c r="K544" s="75">
        <f t="shared" si="152"/>
        <v>0</v>
      </c>
      <c r="L544" s="76">
        <f t="shared" ref="L544:L555" si="174">ROUND(E544*F544,2)</f>
        <v>215.16</v>
      </c>
      <c r="M544" s="76">
        <f t="shared" ref="M544:M555" si="175">I544*G544</f>
        <v>274.52</v>
      </c>
      <c r="N544" s="76">
        <f t="shared" ref="N544:N555" si="176">J544*G544</f>
        <v>274.52</v>
      </c>
      <c r="O544" s="76">
        <f t="shared" ref="O544:O555" si="177">H544-N544</f>
        <v>0</v>
      </c>
      <c r="P544" s="90">
        <f t="shared" ref="P544:P555" si="178">N544/H544</f>
        <v>1</v>
      </c>
      <c r="Q544" s="51"/>
      <c r="T544" s="53">
        <v>53.79</v>
      </c>
    </row>
    <row r="545" spans="1:20" s="56" customFormat="1" ht="24" x14ac:dyDescent="0.2">
      <c r="A545" s="73" t="s">
        <v>308</v>
      </c>
      <c r="B545" s="80">
        <v>44410</v>
      </c>
      <c r="C545" s="74" t="s">
        <v>908</v>
      </c>
      <c r="D545" s="73" t="s">
        <v>102</v>
      </c>
      <c r="E545" s="75">
        <v>1</v>
      </c>
      <c r="F545" s="75">
        <f t="shared" si="171"/>
        <v>53.79</v>
      </c>
      <c r="G545" s="75">
        <f t="shared" si="172"/>
        <v>68.63</v>
      </c>
      <c r="H545" s="76">
        <f t="shared" si="173"/>
        <v>68.63</v>
      </c>
      <c r="I545" s="75">
        <v>1</v>
      </c>
      <c r="J545" s="75">
        <f t="shared" ref="J545:J555" si="179">I545</f>
        <v>1</v>
      </c>
      <c r="K545" s="75">
        <f t="shared" si="152"/>
        <v>0</v>
      </c>
      <c r="L545" s="76">
        <f t="shared" si="174"/>
        <v>53.79</v>
      </c>
      <c r="M545" s="76">
        <f t="shared" si="175"/>
        <v>68.63</v>
      </c>
      <c r="N545" s="76">
        <f t="shared" si="176"/>
        <v>68.63</v>
      </c>
      <c r="O545" s="76">
        <f t="shared" si="177"/>
        <v>0</v>
      </c>
      <c r="P545" s="90">
        <f t="shared" si="178"/>
        <v>1</v>
      </c>
      <c r="Q545" s="51"/>
      <c r="T545" s="53">
        <v>53.79</v>
      </c>
    </row>
    <row r="546" spans="1:20" s="56" customFormat="1" ht="12" x14ac:dyDescent="0.2">
      <c r="A546" s="73" t="s">
        <v>308</v>
      </c>
      <c r="B546" s="80">
        <v>44411</v>
      </c>
      <c r="C546" s="74" t="s">
        <v>909</v>
      </c>
      <c r="D546" s="73" t="s">
        <v>102</v>
      </c>
      <c r="E546" s="75">
        <v>1</v>
      </c>
      <c r="F546" s="75">
        <f t="shared" si="171"/>
        <v>115.99</v>
      </c>
      <c r="G546" s="75">
        <f t="shared" si="172"/>
        <v>147.99</v>
      </c>
      <c r="H546" s="76">
        <f t="shared" si="173"/>
        <v>147.99</v>
      </c>
      <c r="I546" s="75">
        <v>1</v>
      </c>
      <c r="J546" s="75">
        <f t="shared" si="179"/>
        <v>1</v>
      </c>
      <c r="K546" s="75">
        <f t="shared" si="152"/>
        <v>0</v>
      </c>
      <c r="L546" s="76">
        <f t="shared" si="174"/>
        <v>115.99</v>
      </c>
      <c r="M546" s="76">
        <f t="shared" si="175"/>
        <v>147.99</v>
      </c>
      <c r="N546" s="76">
        <f t="shared" si="176"/>
        <v>147.99</v>
      </c>
      <c r="O546" s="76">
        <f t="shared" si="177"/>
        <v>0</v>
      </c>
      <c r="P546" s="90">
        <f t="shared" si="178"/>
        <v>1</v>
      </c>
      <c r="Q546" s="51"/>
      <c r="T546" s="53">
        <v>115.99</v>
      </c>
    </row>
    <row r="547" spans="1:20" s="56" customFormat="1" ht="12" x14ac:dyDescent="0.2">
      <c r="A547" s="73" t="s">
        <v>308</v>
      </c>
      <c r="B547" s="80">
        <v>44412</v>
      </c>
      <c r="C547" s="74" t="s">
        <v>910</v>
      </c>
      <c r="D547" s="73" t="s">
        <v>102</v>
      </c>
      <c r="E547" s="75">
        <v>3</v>
      </c>
      <c r="F547" s="75">
        <f t="shared" si="171"/>
        <v>232.9</v>
      </c>
      <c r="G547" s="75">
        <f t="shared" si="172"/>
        <v>297.16000000000003</v>
      </c>
      <c r="H547" s="76">
        <f t="shared" si="173"/>
        <v>891.48</v>
      </c>
      <c r="I547" s="75">
        <v>3</v>
      </c>
      <c r="J547" s="75">
        <f t="shared" si="179"/>
        <v>3</v>
      </c>
      <c r="K547" s="75">
        <f t="shared" si="152"/>
        <v>0</v>
      </c>
      <c r="L547" s="76">
        <f t="shared" si="174"/>
        <v>698.7</v>
      </c>
      <c r="M547" s="76">
        <f t="shared" si="175"/>
        <v>891.48</v>
      </c>
      <c r="N547" s="76">
        <f t="shared" si="176"/>
        <v>891.48</v>
      </c>
      <c r="O547" s="76">
        <f t="shared" si="177"/>
        <v>0</v>
      </c>
      <c r="P547" s="90">
        <f t="shared" si="178"/>
        <v>1</v>
      </c>
      <c r="Q547" s="51"/>
      <c r="T547" s="53">
        <v>232.9</v>
      </c>
    </row>
    <row r="548" spans="1:20" s="56" customFormat="1" ht="24" x14ac:dyDescent="0.2">
      <c r="A548" s="73" t="s">
        <v>308</v>
      </c>
      <c r="B548" s="80">
        <v>44413</v>
      </c>
      <c r="C548" s="74" t="s">
        <v>911</v>
      </c>
      <c r="D548" s="73" t="s">
        <v>102</v>
      </c>
      <c r="E548" s="75">
        <v>1</v>
      </c>
      <c r="F548" s="75">
        <f t="shared" si="171"/>
        <v>120</v>
      </c>
      <c r="G548" s="75">
        <f t="shared" si="172"/>
        <v>153.11000000000001</v>
      </c>
      <c r="H548" s="76">
        <f t="shared" si="173"/>
        <v>153.11000000000001</v>
      </c>
      <c r="I548" s="75">
        <v>1</v>
      </c>
      <c r="J548" s="75">
        <f t="shared" si="179"/>
        <v>1</v>
      </c>
      <c r="K548" s="75">
        <f t="shared" si="152"/>
        <v>0</v>
      </c>
      <c r="L548" s="76">
        <f t="shared" si="174"/>
        <v>120</v>
      </c>
      <c r="M548" s="76">
        <f t="shared" si="175"/>
        <v>153.11000000000001</v>
      </c>
      <c r="N548" s="76">
        <f t="shared" si="176"/>
        <v>153.11000000000001</v>
      </c>
      <c r="O548" s="76">
        <f t="shared" si="177"/>
        <v>0</v>
      </c>
      <c r="P548" s="90">
        <f t="shared" si="178"/>
        <v>1</v>
      </c>
      <c r="Q548" s="51"/>
      <c r="T548" s="53">
        <v>120</v>
      </c>
    </row>
    <row r="549" spans="1:20" s="56" customFormat="1" ht="24" x14ac:dyDescent="0.2">
      <c r="A549" s="73" t="s">
        <v>308</v>
      </c>
      <c r="B549" s="80">
        <v>44414</v>
      </c>
      <c r="C549" s="74" t="s">
        <v>912</v>
      </c>
      <c r="D549" s="73" t="s">
        <v>102</v>
      </c>
      <c r="E549" s="75">
        <v>1</v>
      </c>
      <c r="F549" s="75">
        <f t="shared" si="171"/>
        <v>66.87</v>
      </c>
      <c r="G549" s="75">
        <f t="shared" si="172"/>
        <v>85.32</v>
      </c>
      <c r="H549" s="76">
        <f t="shared" si="173"/>
        <v>85.32</v>
      </c>
      <c r="I549" s="75">
        <v>1</v>
      </c>
      <c r="J549" s="75">
        <f t="shared" si="179"/>
        <v>1</v>
      </c>
      <c r="K549" s="75">
        <f t="shared" si="152"/>
        <v>0</v>
      </c>
      <c r="L549" s="76">
        <f t="shared" si="174"/>
        <v>66.87</v>
      </c>
      <c r="M549" s="76">
        <f t="shared" si="175"/>
        <v>85.32</v>
      </c>
      <c r="N549" s="76">
        <f t="shared" si="176"/>
        <v>85.32</v>
      </c>
      <c r="O549" s="76">
        <f t="shared" si="177"/>
        <v>0</v>
      </c>
      <c r="P549" s="90">
        <f t="shared" si="178"/>
        <v>1</v>
      </c>
      <c r="Q549" s="51"/>
      <c r="T549" s="53">
        <v>66.87</v>
      </c>
    </row>
    <row r="550" spans="1:20" s="56" customFormat="1" ht="24" x14ac:dyDescent="0.2">
      <c r="A550" s="73" t="s">
        <v>308</v>
      </c>
      <c r="B550" s="80">
        <v>44415</v>
      </c>
      <c r="C550" s="74" t="s">
        <v>913</v>
      </c>
      <c r="D550" s="73" t="s">
        <v>102</v>
      </c>
      <c r="E550" s="75">
        <v>1</v>
      </c>
      <c r="F550" s="75">
        <f t="shared" si="171"/>
        <v>89.11</v>
      </c>
      <c r="G550" s="75">
        <f t="shared" si="172"/>
        <v>113.7</v>
      </c>
      <c r="H550" s="76">
        <f t="shared" si="173"/>
        <v>113.7</v>
      </c>
      <c r="I550" s="75">
        <v>1</v>
      </c>
      <c r="J550" s="75">
        <f t="shared" si="179"/>
        <v>1</v>
      </c>
      <c r="K550" s="75">
        <f t="shared" si="152"/>
        <v>0</v>
      </c>
      <c r="L550" s="76">
        <f t="shared" si="174"/>
        <v>89.11</v>
      </c>
      <c r="M550" s="76">
        <f t="shared" si="175"/>
        <v>113.7</v>
      </c>
      <c r="N550" s="76">
        <f t="shared" si="176"/>
        <v>113.7</v>
      </c>
      <c r="O550" s="76">
        <f t="shared" si="177"/>
        <v>0</v>
      </c>
      <c r="P550" s="90">
        <f t="shared" si="178"/>
        <v>1</v>
      </c>
      <c r="Q550" s="51"/>
      <c r="T550" s="53">
        <v>89.11</v>
      </c>
    </row>
    <row r="551" spans="1:20" s="56" customFormat="1" ht="36" x14ac:dyDescent="0.2">
      <c r="A551" s="73" t="s">
        <v>308</v>
      </c>
      <c r="B551" s="80">
        <v>44416</v>
      </c>
      <c r="C551" s="74" t="s">
        <v>914</v>
      </c>
      <c r="D551" s="73" t="s">
        <v>102</v>
      </c>
      <c r="E551" s="75">
        <v>1</v>
      </c>
      <c r="F551" s="75">
        <f t="shared" si="171"/>
        <v>98.32</v>
      </c>
      <c r="G551" s="75">
        <f t="shared" si="172"/>
        <v>125.45</v>
      </c>
      <c r="H551" s="76">
        <f t="shared" si="173"/>
        <v>125.45</v>
      </c>
      <c r="I551" s="75">
        <v>1</v>
      </c>
      <c r="J551" s="75">
        <f t="shared" si="179"/>
        <v>1</v>
      </c>
      <c r="K551" s="75">
        <f t="shared" si="152"/>
        <v>0</v>
      </c>
      <c r="L551" s="76">
        <f t="shared" si="174"/>
        <v>98.32</v>
      </c>
      <c r="M551" s="76">
        <f t="shared" si="175"/>
        <v>125.45</v>
      </c>
      <c r="N551" s="76">
        <f t="shared" si="176"/>
        <v>125.45</v>
      </c>
      <c r="O551" s="76">
        <f t="shared" si="177"/>
        <v>0</v>
      </c>
      <c r="P551" s="90">
        <f t="shared" si="178"/>
        <v>1</v>
      </c>
      <c r="Q551" s="51"/>
      <c r="T551" s="53">
        <v>98.32</v>
      </c>
    </row>
    <row r="552" spans="1:20" s="56" customFormat="1" ht="24" x14ac:dyDescent="0.2">
      <c r="A552" s="73" t="s">
        <v>915</v>
      </c>
      <c r="B552" s="80">
        <v>44417</v>
      </c>
      <c r="C552" s="74" t="s">
        <v>916</v>
      </c>
      <c r="D552" s="73" t="s">
        <v>102</v>
      </c>
      <c r="E552" s="75">
        <v>1</v>
      </c>
      <c r="F552" s="75">
        <f t="shared" si="171"/>
        <v>81.760000000000005</v>
      </c>
      <c r="G552" s="75">
        <f t="shared" si="172"/>
        <v>104.32</v>
      </c>
      <c r="H552" s="76">
        <f t="shared" si="173"/>
        <v>104.32</v>
      </c>
      <c r="I552" s="75">
        <v>1</v>
      </c>
      <c r="J552" s="75">
        <f t="shared" si="179"/>
        <v>1</v>
      </c>
      <c r="K552" s="75">
        <f t="shared" si="152"/>
        <v>0</v>
      </c>
      <c r="L552" s="76">
        <f t="shared" si="174"/>
        <v>81.760000000000005</v>
      </c>
      <c r="M552" s="76">
        <f t="shared" si="175"/>
        <v>104.32</v>
      </c>
      <c r="N552" s="76">
        <f t="shared" si="176"/>
        <v>104.32</v>
      </c>
      <c r="O552" s="76">
        <f t="shared" si="177"/>
        <v>0</v>
      </c>
      <c r="P552" s="90">
        <f t="shared" si="178"/>
        <v>1</v>
      </c>
      <c r="Q552" s="51"/>
      <c r="T552" s="53">
        <v>81.760000000000005</v>
      </c>
    </row>
    <row r="553" spans="1:20" s="56" customFormat="1" ht="24" x14ac:dyDescent="0.2">
      <c r="A553" s="73" t="s">
        <v>917</v>
      </c>
      <c r="B553" s="87">
        <v>40411</v>
      </c>
      <c r="C553" s="74" t="s">
        <v>918</v>
      </c>
      <c r="D553" s="73" t="s">
        <v>102</v>
      </c>
      <c r="E553" s="75">
        <v>1</v>
      </c>
      <c r="F553" s="75">
        <f t="shared" si="171"/>
        <v>72.62</v>
      </c>
      <c r="G553" s="75">
        <f t="shared" si="172"/>
        <v>92.66</v>
      </c>
      <c r="H553" s="76">
        <f t="shared" si="173"/>
        <v>92.66</v>
      </c>
      <c r="I553" s="75">
        <v>1</v>
      </c>
      <c r="J553" s="75">
        <f t="shared" si="179"/>
        <v>1</v>
      </c>
      <c r="K553" s="75">
        <f t="shared" si="152"/>
        <v>0</v>
      </c>
      <c r="L553" s="76">
        <f t="shared" si="174"/>
        <v>72.62</v>
      </c>
      <c r="M553" s="76">
        <f t="shared" si="175"/>
        <v>92.66</v>
      </c>
      <c r="N553" s="76">
        <f t="shared" si="176"/>
        <v>92.66</v>
      </c>
      <c r="O553" s="76">
        <f t="shared" si="177"/>
        <v>0</v>
      </c>
      <c r="P553" s="90">
        <f t="shared" si="178"/>
        <v>1</v>
      </c>
      <c r="Q553" s="51"/>
      <c r="T553" s="53">
        <v>72.62</v>
      </c>
    </row>
    <row r="554" spans="1:20" s="56" customFormat="1" ht="24" x14ac:dyDescent="0.2">
      <c r="A554" s="73" t="s">
        <v>308</v>
      </c>
      <c r="B554" s="87">
        <v>40776</v>
      </c>
      <c r="C554" s="74" t="s">
        <v>919</v>
      </c>
      <c r="D554" s="73" t="s">
        <v>102</v>
      </c>
      <c r="E554" s="75">
        <v>3</v>
      </c>
      <c r="F554" s="75">
        <f t="shared" si="171"/>
        <v>17.100000000000001</v>
      </c>
      <c r="G554" s="75">
        <f t="shared" si="172"/>
        <v>21.82</v>
      </c>
      <c r="H554" s="76">
        <f t="shared" si="173"/>
        <v>65.459999999999994</v>
      </c>
      <c r="I554" s="75">
        <v>3</v>
      </c>
      <c r="J554" s="75">
        <f t="shared" si="179"/>
        <v>3</v>
      </c>
      <c r="K554" s="75">
        <f t="shared" si="152"/>
        <v>0</v>
      </c>
      <c r="L554" s="76">
        <f t="shared" si="174"/>
        <v>51.3</v>
      </c>
      <c r="M554" s="76">
        <f t="shared" si="175"/>
        <v>65.460000000000008</v>
      </c>
      <c r="N554" s="76">
        <f t="shared" si="176"/>
        <v>65.460000000000008</v>
      </c>
      <c r="O554" s="76">
        <f t="shared" si="177"/>
        <v>0</v>
      </c>
      <c r="P554" s="90">
        <f t="shared" si="178"/>
        <v>1.0000000000000002</v>
      </c>
      <c r="Q554" s="51"/>
      <c r="T554" s="53">
        <v>17.100000000000001</v>
      </c>
    </row>
    <row r="555" spans="1:20" s="56" customFormat="1" ht="24" x14ac:dyDescent="0.2">
      <c r="A555" s="73" t="s">
        <v>308</v>
      </c>
      <c r="B555" s="87">
        <v>41142</v>
      </c>
      <c r="C555" s="74" t="s">
        <v>920</v>
      </c>
      <c r="D555" s="73" t="s">
        <v>102</v>
      </c>
      <c r="E555" s="75">
        <v>2</v>
      </c>
      <c r="F555" s="75">
        <f t="shared" si="171"/>
        <v>17.100000000000001</v>
      </c>
      <c r="G555" s="75">
        <f t="shared" si="172"/>
        <v>21.82</v>
      </c>
      <c r="H555" s="76">
        <f t="shared" si="173"/>
        <v>43.64</v>
      </c>
      <c r="I555" s="75">
        <v>2</v>
      </c>
      <c r="J555" s="75">
        <f t="shared" si="179"/>
        <v>2</v>
      </c>
      <c r="K555" s="75">
        <f t="shared" si="152"/>
        <v>0</v>
      </c>
      <c r="L555" s="76">
        <f t="shared" si="174"/>
        <v>34.200000000000003</v>
      </c>
      <c r="M555" s="76">
        <f t="shared" si="175"/>
        <v>43.64</v>
      </c>
      <c r="N555" s="76">
        <f t="shared" si="176"/>
        <v>43.64</v>
      </c>
      <c r="O555" s="76">
        <f t="shared" si="177"/>
        <v>0</v>
      </c>
      <c r="P555" s="90">
        <f t="shared" si="178"/>
        <v>1</v>
      </c>
      <c r="Q555" s="51"/>
      <c r="T555" s="53">
        <v>17.100000000000001</v>
      </c>
    </row>
    <row r="556" spans="1:20" s="56" customFormat="1" ht="12" x14ac:dyDescent="0.2">
      <c r="A556" s="72"/>
      <c r="B556" s="71"/>
      <c r="C556" s="71"/>
      <c r="D556" s="71"/>
      <c r="E556" s="71"/>
      <c r="F556" s="75"/>
      <c r="G556" s="77" t="s">
        <v>921</v>
      </c>
      <c r="H556" s="78">
        <f>SUM(H544:H555)</f>
        <v>2166.2799999999997</v>
      </c>
      <c r="I556" s="71"/>
      <c r="J556" s="75"/>
      <c r="K556" s="75"/>
      <c r="L556" s="78">
        <f>SUM(L544:L555)</f>
        <v>1697.8200000000002</v>
      </c>
      <c r="M556" s="78">
        <f>SUM(M544:M555)</f>
        <v>2166.2799999999997</v>
      </c>
      <c r="N556" s="78">
        <f>SUM(N544:N555)</f>
        <v>2166.2799999999997</v>
      </c>
      <c r="O556" s="78">
        <f>SUM(O544:O555)</f>
        <v>0</v>
      </c>
      <c r="P556" s="91">
        <f>N556/H556</f>
        <v>1</v>
      </c>
      <c r="Q556" s="60"/>
      <c r="T556" s="59"/>
    </row>
    <row r="557" spans="1:20" s="56" customFormat="1" ht="12" x14ac:dyDescent="0.2">
      <c r="A557" s="72"/>
      <c r="B557" s="70" t="s">
        <v>922</v>
      </c>
      <c r="C557" s="71" t="s">
        <v>923</v>
      </c>
      <c r="D557" s="72"/>
      <c r="E557" s="72"/>
      <c r="F557" s="75"/>
      <c r="G557" s="72"/>
      <c r="H557" s="72"/>
      <c r="I557" s="72"/>
      <c r="J557" s="75"/>
      <c r="K557" s="75"/>
      <c r="L557" s="72"/>
      <c r="M557" s="72"/>
      <c r="N557" s="72"/>
      <c r="O557" s="72"/>
      <c r="P557" s="72"/>
      <c r="Q557" s="52"/>
      <c r="T557" s="52"/>
    </row>
    <row r="558" spans="1:20" s="56" customFormat="1" ht="12" x14ac:dyDescent="0.2">
      <c r="A558" s="94">
        <v>93655</v>
      </c>
      <c r="B558" s="80">
        <v>44440</v>
      </c>
      <c r="C558" s="74" t="s">
        <v>924</v>
      </c>
      <c r="D558" s="73" t="s">
        <v>102</v>
      </c>
      <c r="E558" s="75">
        <v>41</v>
      </c>
      <c r="F558" s="75">
        <f t="shared" ref="F558:F573" si="180">ROUND(T558*$T$10,2)</f>
        <v>11.19</v>
      </c>
      <c r="G558" s="75">
        <f t="shared" ref="G558:G573" si="181">ROUND(F558*(1+$U$1),2)</f>
        <v>14.28</v>
      </c>
      <c r="H558" s="76">
        <f t="shared" ref="H558:H573" si="182">ROUND(E558*G558,2)</f>
        <v>585.48</v>
      </c>
      <c r="I558" s="75"/>
      <c r="J558" s="75">
        <v>41</v>
      </c>
      <c r="K558" s="75">
        <f t="shared" si="152"/>
        <v>0</v>
      </c>
      <c r="L558" s="76">
        <f t="shared" ref="L558:L573" si="183">ROUND(E558*F558,2)</f>
        <v>458.79</v>
      </c>
      <c r="M558" s="76">
        <f t="shared" ref="M558:M573" si="184">I558*G558</f>
        <v>0</v>
      </c>
      <c r="N558" s="76">
        <f t="shared" ref="N558:N573" si="185">J558*G558</f>
        <v>585.48</v>
      </c>
      <c r="O558" s="76">
        <f t="shared" ref="O558:O573" si="186">H558-N558</f>
        <v>0</v>
      </c>
      <c r="P558" s="90">
        <f t="shared" ref="P558:P573" si="187">N558/H558</f>
        <v>1</v>
      </c>
      <c r="Q558" s="51"/>
      <c r="T558" s="53">
        <v>11.19</v>
      </c>
    </row>
    <row r="559" spans="1:20" s="56" customFormat="1" ht="12" x14ac:dyDescent="0.2">
      <c r="A559" s="94">
        <v>93656</v>
      </c>
      <c r="B559" s="80">
        <v>44441</v>
      </c>
      <c r="C559" s="74" t="s">
        <v>925</v>
      </c>
      <c r="D559" s="73" t="s">
        <v>102</v>
      </c>
      <c r="E559" s="75">
        <v>25</v>
      </c>
      <c r="F559" s="75">
        <f t="shared" si="180"/>
        <v>11.19</v>
      </c>
      <c r="G559" s="75">
        <f t="shared" si="181"/>
        <v>14.28</v>
      </c>
      <c r="H559" s="76">
        <f t="shared" si="182"/>
        <v>357</v>
      </c>
      <c r="I559" s="75"/>
      <c r="J559" s="75">
        <v>25</v>
      </c>
      <c r="K559" s="75">
        <f t="shared" si="152"/>
        <v>0</v>
      </c>
      <c r="L559" s="76">
        <f t="shared" si="183"/>
        <v>279.75</v>
      </c>
      <c r="M559" s="76">
        <f t="shared" si="184"/>
        <v>0</v>
      </c>
      <c r="N559" s="76">
        <f t="shared" si="185"/>
        <v>357</v>
      </c>
      <c r="O559" s="76">
        <f t="shared" si="186"/>
        <v>0</v>
      </c>
      <c r="P559" s="90">
        <f t="shared" si="187"/>
        <v>1</v>
      </c>
      <c r="Q559" s="51"/>
      <c r="T559" s="53">
        <v>11.19</v>
      </c>
    </row>
    <row r="560" spans="1:20" s="56" customFormat="1" ht="12" x14ac:dyDescent="0.2">
      <c r="A560" s="94">
        <v>93667</v>
      </c>
      <c r="B560" s="80">
        <v>44442</v>
      </c>
      <c r="C560" s="74" t="s">
        <v>926</v>
      </c>
      <c r="D560" s="73" t="s">
        <v>102</v>
      </c>
      <c r="E560" s="75">
        <v>1</v>
      </c>
      <c r="F560" s="75">
        <f t="shared" si="180"/>
        <v>63.11</v>
      </c>
      <c r="G560" s="75">
        <f t="shared" si="181"/>
        <v>80.52</v>
      </c>
      <c r="H560" s="76">
        <f t="shared" si="182"/>
        <v>80.52</v>
      </c>
      <c r="I560" s="75"/>
      <c r="J560" s="75">
        <v>1</v>
      </c>
      <c r="K560" s="75">
        <f t="shared" si="152"/>
        <v>0</v>
      </c>
      <c r="L560" s="76">
        <f t="shared" si="183"/>
        <v>63.11</v>
      </c>
      <c r="M560" s="76">
        <f t="shared" si="184"/>
        <v>0</v>
      </c>
      <c r="N560" s="76">
        <f t="shared" si="185"/>
        <v>80.52</v>
      </c>
      <c r="O560" s="76">
        <f t="shared" si="186"/>
        <v>0</v>
      </c>
      <c r="P560" s="90">
        <f t="shared" si="187"/>
        <v>1</v>
      </c>
      <c r="Q560" s="51"/>
      <c r="T560" s="53">
        <v>63.11</v>
      </c>
    </row>
    <row r="561" spans="1:20" s="56" customFormat="1" ht="12" x14ac:dyDescent="0.2">
      <c r="A561" s="94">
        <v>93669</v>
      </c>
      <c r="B561" s="80">
        <v>44443</v>
      </c>
      <c r="C561" s="74" t="s">
        <v>927</v>
      </c>
      <c r="D561" s="73" t="s">
        <v>102</v>
      </c>
      <c r="E561" s="75">
        <v>2</v>
      </c>
      <c r="F561" s="75">
        <f t="shared" si="180"/>
        <v>66.849999999999994</v>
      </c>
      <c r="G561" s="75">
        <f t="shared" si="181"/>
        <v>85.29</v>
      </c>
      <c r="H561" s="76">
        <f t="shared" si="182"/>
        <v>170.58</v>
      </c>
      <c r="I561" s="75"/>
      <c r="J561" s="75">
        <v>2</v>
      </c>
      <c r="K561" s="75">
        <f t="shared" si="152"/>
        <v>0</v>
      </c>
      <c r="L561" s="76">
        <f t="shared" si="183"/>
        <v>133.69999999999999</v>
      </c>
      <c r="M561" s="76">
        <f t="shared" si="184"/>
        <v>0</v>
      </c>
      <c r="N561" s="76">
        <f t="shared" si="185"/>
        <v>170.58</v>
      </c>
      <c r="O561" s="76">
        <f t="shared" si="186"/>
        <v>0</v>
      </c>
      <c r="P561" s="90">
        <f t="shared" si="187"/>
        <v>1</v>
      </c>
      <c r="Q561" s="51"/>
      <c r="T561" s="53">
        <v>66.849999999999994</v>
      </c>
    </row>
    <row r="562" spans="1:20" s="56" customFormat="1" ht="12" x14ac:dyDescent="0.2">
      <c r="A562" s="94">
        <v>93671</v>
      </c>
      <c r="B562" s="80">
        <v>44444</v>
      </c>
      <c r="C562" s="74" t="s">
        <v>928</v>
      </c>
      <c r="D562" s="73" t="s">
        <v>102</v>
      </c>
      <c r="E562" s="75">
        <v>3</v>
      </c>
      <c r="F562" s="75">
        <f t="shared" si="180"/>
        <v>69.86</v>
      </c>
      <c r="G562" s="75">
        <f t="shared" si="181"/>
        <v>89.13</v>
      </c>
      <c r="H562" s="76">
        <f t="shared" si="182"/>
        <v>267.39</v>
      </c>
      <c r="I562" s="75"/>
      <c r="J562" s="75">
        <v>3</v>
      </c>
      <c r="K562" s="75">
        <f t="shared" si="152"/>
        <v>0</v>
      </c>
      <c r="L562" s="76">
        <f t="shared" si="183"/>
        <v>209.58</v>
      </c>
      <c r="M562" s="76">
        <f t="shared" si="184"/>
        <v>0</v>
      </c>
      <c r="N562" s="76">
        <f t="shared" si="185"/>
        <v>267.39</v>
      </c>
      <c r="O562" s="76">
        <f t="shared" si="186"/>
        <v>0</v>
      </c>
      <c r="P562" s="90">
        <f t="shared" si="187"/>
        <v>1</v>
      </c>
      <c r="Q562" s="51"/>
      <c r="T562" s="53">
        <v>69.86</v>
      </c>
    </row>
    <row r="563" spans="1:20" s="56" customFormat="1" ht="12" x14ac:dyDescent="0.2">
      <c r="A563" s="94">
        <v>93673</v>
      </c>
      <c r="B563" s="80">
        <v>44445</v>
      </c>
      <c r="C563" s="74" t="s">
        <v>929</v>
      </c>
      <c r="D563" s="73" t="s">
        <v>102</v>
      </c>
      <c r="E563" s="75">
        <v>1</v>
      </c>
      <c r="F563" s="75">
        <f t="shared" si="180"/>
        <v>80.959999999999994</v>
      </c>
      <c r="G563" s="75">
        <f t="shared" si="181"/>
        <v>103.3</v>
      </c>
      <c r="H563" s="76">
        <f t="shared" si="182"/>
        <v>103.3</v>
      </c>
      <c r="I563" s="75"/>
      <c r="J563" s="75">
        <v>1</v>
      </c>
      <c r="K563" s="75">
        <f t="shared" si="152"/>
        <v>0</v>
      </c>
      <c r="L563" s="76">
        <f t="shared" si="183"/>
        <v>80.959999999999994</v>
      </c>
      <c r="M563" s="76">
        <f t="shared" si="184"/>
        <v>0</v>
      </c>
      <c r="N563" s="76">
        <f t="shared" si="185"/>
        <v>103.3</v>
      </c>
      <c r="O563" s="76">
        <f t="shared" si="186"/>
        <v>0</v>
      </c>
      <c r="P563" s="90">
        <f t="shared" si="187"/>
        <v>1</v>
      </c>
      <c r="Q563" s="51"/>
      <c r="T563" s="53">
        <v>80.959999999999994</v>
      </c>
    </row>
    <row r="564" spans="1:20" s="56" customFormat="1" ht="12" x14ac:dyDescent="0.2">
      <c r="A564" s="73" t="s">
        <v>930</v>
      </c>
      <c r="B564" s="80">
        <v>44446</v>
      </c>
      <c r="C564" s="74" t="s">
        <v>931</v>
      </c>
      <c r="D564" s="73" t="s">
        <v>102</v>
      </c>
      <c r="E564" s="75">
        <v>1</v>
      </c>
      <c r="F564" s="75">
        <f t="shared" si="180"/>
        <v>84.91</v>
      </c>
      <c r="G564" s="75">
        <f t="shared" si="181"/>
        <v>108.34</v>
      </c>
      <c r="H564" s="76">
        <f t="shared" si="182"/>
        <v>108.34</v>
      </c>
      <c r="I564" s="75"/>
      <c r="J564" s="75">
        <v>1</v>
      </c>
      <c r="K564" s="75">
        <f t="shared" si="152"/>
        <v>0</v>
      </c>
      <c r="L564" s="76">
        <f t="shared" si="183"/>
        <v>84.91</v>
      </c>
      <c r="M564" s="76">
        <f t="shared" si="184"/>
        <v>0</v>
      </c>
      <c r="N564" s="76">
        <f t="shared" si="185"/>
        <v>108.34</v>
      </c>
      <c r="O564" s="76">
        <f t="shared" si="186"/>
        <v>0</v>
      </c>
      <c r="P564" s="90">
        <f t="shared" si="187"/>
        <v>1</v>
      </c>
      <c r="Q564" s="51"/>
      <c r="T564" s="53">
        <v>84.91</v>
      </c>
    </row>
    <row r="565" spans="1:20" s="56" customFormat="1" ht="12" x14ac:dyDescent="0.2">
      <c r="A565" s="73" t="s">
        <v>932</v>
      </c>
      <c r="B565" s="80">
        <v>44447</v>
      </c>
      <c r="C565" s="74" t="s">
        <v>933</v>
      </c>
      <c r="D565" s="73" t="s">
        <v>102</v>
      </c>
      <c r="E565" s="75">
        <v>1</v>
      </c>
      <c r="F565" s="75">
        <f t="shared" si="180"/>
        <v>84.91</v>
      </c>
      <c r="G565" s="75">
        <f t="shared" si="181"/>
        <v>108.34</v>
      </c>
      <c r="H565" s="76">
        <f t="shared" si="182"/>
        <v>108.34</v>
      </c>
      <c r="I565" s="75"/>
      <c r="J565" s="75">
        <v>1</v>
      </c>
      <c r="K565" s="75">
        <f t="shared" si="152"/>
        <v>0</v>
      </c>
      <c r="L565" s="76">
        <f t="shared" si="183"/>
        <v>84.91</v>
      </c>
      <c r="M565" s="76">
        <f t="shared" si="184"/>
        <v>0</v>
      </c>
      <c r="N565" s="76">
        <f t="shared" si="185"/>
        <v>108.34</v>
      </c>
      <c r="O565" s="76">
        <f t="shared" si="186"/>
        <v>0</v>
      </c>
      <c r="P565" s="90">
        <f t="shared" si="187"/>
        <v>1</v>
      </c>
      <c r="Q565" s="51"/>
      <c r="T565" s="53">
        <v>84.91</v>
      </c>
    </row>
    <row r="566" spans="1:20" s="56" customFormat="1" ht="12" x14ac:dyDescent="0.2">
      <c r="A566" s="73" t="s">
        <v>78</v>
      </c>
      <c r="B566" s="80">
        <v>44448</v>
      </c>
      <c r="C566" s="74" t="s">
        <v>934</v>
      </c>
      <c r="D566" s="73" t="s">
        <v>102</v>
      </c>
      <c r="E566" s="75">
        <v>2</v>
      </c>
      <c r="F566" s="75">
        <f t="shared" si="180"/>
        <v>72.77</v>
      </c>
      <c r="G566" s="75">
        <f t="shared" si="181"/>
        <v>92.85</v>
      </c>
      <c r="H566" s="76">
        <f t="shared" si="182"/>
        <v>185.7</v>
      </c>
      <c r="I566" s="75"/>
      <c r="J566" s="75">
        <v>2</v>
      </c>
      <c r="K566" s="75">
        <f t="shared" si="152"/>
        <v>0</v>
      </c>
      <c r="L566" s="76">
        <f t="shared" si="183"/>
        <v>145.54</v>
      </c>
      <c r="M566" s="76">
        <f t="shared" si="184"/>
        <v>0</v>
      </c>
      <c r="N566" s="76">
        <f t="shared" si="185"/>
        <v>185.7</v>
      </c>
      <c r="O566" s="76">
        <f t="shared" si="186"/>
        <v>0</v>
      </c>
      <c r="P566" s="90">
        <f t="shared" si="187"/>
        <v>1</v>
      </c>
      <c r="Q566" s="51"/>
      <c r="T566" s="53">
        <v>72.77</v>
      </c>
    </row>
    <row r="567" spans="1:20" s="56" customFormat="1" ht="12" x14ac:dyDescent="0.2">
      <c r="A567" s="73" t="s">
        <v>78</v>
      </c>
      <c r="B567" s="87">
        <v>40442</v>
      </c>
      <c r="C567" s="74" t="s">
        <v>935</v>
      </c>
      <c r="D567" s="73" t="s">
        <v>102</v>
      </c>
      <c r="E567" s="75">
        <v>1</v>
      </c>
      <c r="F567" s="75">
        <f t="shared" si="180"/>
        <v>72.77</v>
      </c>
      <c r="G567" s="75">
        <f t="shared" si="181"/>
        <v>92.85</v>
      </c>
      <c r="H567" s="76">
        <f t="shared" si="182"/>
        <v>92.85</v>
      </c>
      <c r="I567" s="75"/>
      <c r="J567" s="75">
        <v>1</v>
      </c>
      <c r="K567" s="75">
        <f t="shared" si="152"/>
        <v>0</v>
      </c>
      <c r="L567" s="76">
        <f t="shared" si="183"/>
        <v>72.77</v>
      </c>
      <c r="M567" s="76">
        <f t="shared" si="184"/>
        <v>0</v>
      </c>
      <c r="N567" s="76">
        <f t="shared" si="185"/>
        <v>92.85</v>
      </c>
      <c r="O567" s="76">
        <f t="shared" si="186"/>
        <v>0</v>
      </c>
      <c r="P567" s="90">
        <f t="shared" si="187"/>
        <v>1</v>
      </c>
      <c r="Q567" s="51"/>
      <c r="T567" s="53">
        <v>72.77</v>
      </c>
    </row>
    <row r="568" spans="1:20" s="56" customFormat="1" ht="12" x14ac:dyDescent="0.2">
      <c r="A568" s="73" t="s">
        <v>308</v>
      </c>
      <c r="B568" s="87">
        <v>40807</v>
      </c>
      <c r="C568" s="74" t="s">
        <v>936</v>
      </c>
      <c r="D568" s="73" t="s">
        <v>102</v>
      </c>
      <c r="E568" s="75">
        <v>1</v>
      </c>
      <c r="F568" s="75">
        <f t="shared" si="180"/>
        <v>750</v>
      </c>
      <c r="G568" s="75">
        <f t="shared" si="181"/>
        <v>956.93</v>
      </c>
      <c r="H568" s="76">
        <f t="shared" si="182"/>
        <v>956.93</v>
      </c>
      <c r="I568" s="75"/>
      <c r="J568" s="75">
        <v>1</v>
      </c>
      <c r="K568" s="75">
        <f t="shared" si="152"/>
        <v>0</v>
      </c>
      <c r="L568" s="76">
        <f t="shared" si="183"/>
        <v>750</v>
      </c>
      <c r="M568" s="76">
        <f t="shared" si="184"/>
        <v>0</v>
      </c>
      <c r="N568" s="76">
        <f t="shared" si="185"/>
        <v>956.93</v>
      </c>
      <c r="O568" s="76">
        <f t="shared" si="186"/>
        <v>0</v>
      </c>
      <c r="P568" s="90">
        <f t="shared" si="187"/>
        <v>1</v>
      </c>
      <c r="Q568" s="51"/>
      <c r="T568" s="53">
        <v>750</v>
      </c>
    </row>
    <row r="569" spans="1:20" s="56" customFormat="1" ht="12" x14ac:dyDescent="0.2">
      <c r="A569" s="73" t="s">
        <v>937</v>
      </c>
      <c r="B569" s="87">
        <v>41173</v>
      </c>
      <c r="C569" s="74" t="s">
        <v>938</v>
      </c>
      <c r="D569" s="73" t="s">
        <v>102</v>
      </c>
      <c r="E569" s="75">
        <v>1</v>
      </c>
      <c r="F569" s="75">
        <f t="shared" si="180"/>
        <v>397.29</v>
      </c>
      <c r="G569" s="75">
        <f t="shared" si="181"/>
        <v>506.9</v>
      </c>
      <c r="H569" s="76">
        <f t="shared" si="182"/>
        <v>506.9</v>
      </c>
      <c r="I569" s="75"/>
      <c r="J569" s="75">
        <v>1</v>
      </c>
      <c r="K569" s="75">
        <f t="shared" si="152"/>
        <v>0</v>
      </c>
      <c r="L569" s="76">
        <f t="shared" si="183"/>
        <v>397.29</v>
      </c>
      <c r="M569" s="76">
        <f t="shared" si="184"/>
        <v>0</v>
      </c>
      <c r="N569" s="76">
        <f t="shared" si="185"/>
        <v>506.9</v>
      </c>
      <c r="O569" s="76">
        <f t="shared" si="186"/>
        <v>0</v>
      </c>
      <c r="P569" s="90">
        <f t="shared" si="187"/>
        <v>1</v>
      </c>
      <c r="Q569" s="51"/>
      <c r="T569" s="53">
        <v>397.29</v>
      </c>
    </row>
    <row r="570" spans="1:20" s="56" customFormat="1" ht="24" x14ac:dyDescent="0.2">
      <c r="A570" s="73" t="s">
        <v>939</v>
      </c>
      <c r="B570" s="87">
        <v>41538</v>
      </c>
      <c r="C570" s="74" t="s">
        <v>940</v>
      </c>
      <c r="D570" s="73" t="s">
        <v>102</v>
      </c>
      <c r="E570" s="75">
        <v>1</v>
      </c>
      <c r="F570" s="75">
        <f t="shared" si="180"/>
        <v>762.97</v>
      </c>
      <c r="G570" s="75">
        <f t="shared" si="181"/>
        <v>973.47</v>
      </c>
      <c r="H570" s="76">
        <f t="shared" si="182"/>
        <v>973.47</v>
      </c>
      <c r="I570" s="75"/>
      <c r="J570" s="75">
        <v>1</v>
      </c>
      <c r="K570" s="75">
        <f t="shared" si="152"/>
        <v>0</v>
      </c>
      <c r="L570" s="76">
        <f t="shared" si="183"/>
        <v>762.97</v>
      </c>
      <c r="M570" s="76">
        <f t="shared" si="184"/>
        <v>0</v>
      </c>
      <c r="N570" s="76">
        <f t="shared" si="185"/>
        <v>973.47</v>
      </c>
      <c r="O570" s="76">
        <f t="shared" si="186"/>
        <v>0</v>
      </c>
      <c r="P570" s="90">
        <f t="shared" si="187"/>
        <v>1</v>
      </c>
      <c r="Q570" s="51"/>
      <c r="T570" s="53">
        <v>762.97</v>
      </c>
    </row>
    <row r="571" spans="1:20" s="56" customFormat="1" ht="24" x14ac:dyDescent="0.2">
      <c r="A571" s="73" t="s">
        <v>78</v>
      </c>
      <c r="B571" s="87">
        <v>41903</v>
      </c>
      <c r="C571" s="74" t="s">
        <v>941</v>
      </c>
      <c r="D571" s="73" t="s">
        <v>102</v>
      </c>
      <c r="E571" s="75">
        <v>57</v>
      </c>
      <c r="F571" s="75">
        <f t="shared" si="180"/>
        <v>126.31</v>
      </c>
      <c r="G571" s="75">
        <f t="shared" si="181"/>
        <v>161.16</v>
      </c>
      <c r="H571" s="76">
        <f t="shared" si="182"/>
        <v>9186.1200000000008</v>
      </c>
      <c r="I571" s="75"/>
      <c r="J571" s="75">
        <v>57</v>
      </c>
      <c r="K571" s="75">
        <f t="shared" si="152"/>
        <v>0</v>
      </c>
      <c r="L571" s="76">
        <f t="shared" si="183"/>
        <v>7199.67</v>
      </c>
      <c r="M571" s="76">
        <f t="shared" si="184"/>
        <v>0</v>
      </c>
      <c r="N571" s="76">
        <f t="shared" si="185"/>
        <v>9186.119999999999</v>
      </c>
      <c r="O571" s="76">
        <f t="shared" si="186"/>
        <v>0</v>
      </c>
      <c r="P571" s="90">
        <f t="shared" si="187"/>
        <v>0.99999999999999978</v>
      </c>
      <c r="Q571" s="51"/>
      <c r="T571" s="53">
        <v>126.31</v>
      </c>
    </row>
    <row r="572" spans="1:20" s="56" customFormat="1" ht="24" x14ac:dyDescent="0.2">
      <c r="A572" s="73" t="s">
        <v>78</v>
      </c>
      <c r="B572" s="87">
        <v>42268</v>
      </c>
      <c r="C572" s="74" t="s">
        <v>942</v>
      </c>
      <c r="D572" s="73" t="s">
        <v>102</v>
      </c>
      <c r="E572" s="75">
        <v>1</v>
      </c>
      <c r="F572" s="75">
        <f t="shared" si="180"/>
        <v>157.28</v>
      </c>
      <c r="G572" s="75">
        <f t="shared" si="181"/>
        <v>200.67</v>
      </c>
      <c r="H572" s="76">
        <f t="shared" si="182"/>
        <v>200.67</v>
      </c>
      <c r="I572" s="75"/>
      <c r="J572" s="75">
        <v>1</v>
      </c>
      <c r="K572" s="75">
        <f t="shared" si="152"/>
        <v>0</v>
      </c>
      <c r="L572" s="76">
        <f t="shared" si="183"/>
        <v>157.28</v>
      </c>
      <c r="M572" s="76">
        <f t="shared" si="184"/>
        <v>0</v>
      </c>
      <c r="N572" s="76">
        <f t="shared" si="185"/>
        <v>200.67</v>
      </c>
      <c r="O572" s="76">
        <f t="shared" si="186"/>
        <v>0</v>
      </c>
      <c r="P572" s="90">
        <f t="shared" si="187"/>
        <v>1</v>
      </c>
      <c r="Q572" s="51"/>
      <c r="T572" s="53">
        <v>157.28</v>
      </c>
    </row>
    <row r="573" spans="1:20" s="56" customFormat="1" ht="36" x14ac:dyDescent="0.2">
      <c r="A573" s="73" t="s">
        <v>943</v>
      </c>
      <c r="B573" s="87">
        <v>42634</v>
      </c>
      <c r="C573" s="74" t="s">
        <v>944</v>
      </c>
      <c r="D573" s="73" t="s">
        <v>102</v>
      </c>
      <c r="E573" s="75">
        <v>4</v>
      </c>
      <c r="F573" s="75">
        <f t="shared" si="180"/>
        <v>99.53</v>
      </c>
      <c r="G573" s="75">
        <f t="shared" si="181"/>
        <v>126.99</v>
      </c>
      <c r="H573" s="76">
        <f t="shared" si="182"/>
        <v>507.96</v>
      </c>
      <c r="I573" s="75"/>
      <c r="J573" s="75">
        <v>4</v>
      </c>
      <c r="K573" s="75">
        <f t="shared" si="152"/>
        <v>0</v>
      </c>
      <c r="L573" s="76">
        <f t="shared" si="183"/>
        <v>398.12</v>
      </c>
      <c r="M573" s="76">
        <f t="shared" si="184"/>
        <v>0</v>
      </c>
      <c r="N573" s="76">
        <f t="shared" si="185"/>
        <v>507.96</v>
      </c>
      <c r="O573" s="76">
        <f t="shared" si="186"/>
        <v>0</v>
      </c>
      <c r="P573" s="90">
        <f t="shared" si="187"/>
        <v>1</v>
      </c>
      <c r="Q573" s="51"/>
      <c r="T573" s="53">
        <v>99.53</v>
      </c>
    </row>
    <row r="574" spans="1:20" s="56" customFormat="1" ht="12" x14ac:dyDescent="0.2">
      <c r="A574" s="72"/>
      <c r="B574" s="71"/>
      <c r="C574" s="71"/>
      <c r="D574" s="71"/>
      <c r="E574" s="71"/>
      <c r="F574" s="75"/>
      <c r="G574" s="77" t="s">
        <v>945</v>
      </c>
      <c r="H574" s="78">
        <f>SUM(H558:H573)</f>
        <v>14391.55</v>
      </c>
      <c r="I574" s="71"/>
      <c r="J574" s="75"/>
      <c r="K574" s="75"/>
      <c r="L574" s="78">
        <f>SUM(L558:L573)</f>
        <v>11279.350000000002</v>
      </c>
      <c r="M574" s="78">
        <f>SUM(M558:M573)</f>
        <v>0</v>
      </c>
      <c r="N574" s="78">
        <f>SUM(N558:N573)</f>
        <v>14391.549999999997</v>
      </c>
      <c r="O574" s="78">
        <f>SUM(O558:O573)</f>
        <v>0</v>
      </c>
      <c r="P574" s="91">
        <f>N574/H574</f>
        <v>0.99999999999999989</v>
      </c>
      <c r="Q574" s="60"/>
      <c r="T574" s="59"/>
    </row>
    <row r="575" spans="1:20" s="56" customFormat="1" ht="12" x14ac:dyDescent="0.2">
      <c r="A575" s="72"/>
      <c r="B575" s="70" t="s">
        <v>946</v>
      </c>
      <c r="C575" s="71" t="s">
        <v>947</v>
      </c>
      <c r="D575" s="71"/>
      <c r="E575" s="71"/>
      <c r="F575" s="75"/>
      <c r="G575" s="71"/>
      <c r="H575" s="72"/>
      <c r="I575" s="71"/>
      <c r="J575" s="75"/>
      <c r="K575" s="75"/>
      <c r="L575" s="71"/>
      <c r="M575" s="72"/>
      <c r="N575" s="72"/>
      <c r="O575" s="72"/>
      <c r="P575" s="72"/>
      <c r="Q575" s="52"/>
      <c r="T575" s="59"/>
    </row>
    <row r="576" spans="1:20" s="56" customFormat="1" ht="24" x14ac:dyDescent="0.2">
      <c r="A576" s="73" t="s">
        <v>948</v>
      </c>
      <c r="B576" s="84">
        <v>44470</v>
      </c>
      <c r="C576" s="74" t="s">
        <v>949</v>
      </c>
      <c r="D576" s="73" t="s">
        <v>102</v>
      </c>
      <c r="E576" s="75">
        <v>116</v>
      </c>
      <c r="F576" s="75">
        <f t="shared" ref="F576:F582" si="188">ROUND(T576*$T$10,2)</f>
        <v>63.58</v>
      </c>
      <c r="G576" s="75">
        <f t="shared" ref="G576:G582" si="189">ROUND(F576*(1+$U$1),2)</f>
        <v>81.12</v>
      </c>
      <c r="H576" s="76">
        <f t="shared" ref="H576:H582" si="190">ROUND(E576*G576,2)</f>
        <v>9409.92</v>
      </c>
      <c r="I576" s="75"/>
      <c r="J576" s="75">
        <v>116</v>
      </c>
      <c r="K576" s="75">
        <f t="shared" ref="K576:K639" si="191">E576-J576</f>
        <v>0</v>
      </c>
      <c r="L576" s="76">
        <f t="shared" ref="L576:L582" si="192">ROUND(E576*F576,2)</f>
        <v>7375.28</v>
      </c>
      <c r="M576" s="76">
        <f t="shared" ref="M576:M582" si="193">I576*G576</f>
        <v>0</v>
      </c>
      <c r="N576" s="76">
        <f t="shared" ref="N576:N582" si="194">J576*G576</f>
        <v>9409.92</v>
      </c>
      <c r="O576" s="76">
        <f t="shared" ref="O576:O582" si="195">H576-N576</f>
        <v>0</v>
      </c>
      <c r="P576" s="90">
        <f t="shared" ref="P576:P582" si="196">N576/H576</f>
        <v>1</v>
      </c>
      <c r="Q576" s="51"/>
      <c r="T576" s="53">
        <v>63.58</v>
      </c>
    </row>
    <row r="577" spans="1:20" s="56" customFormat="1" ht="24" x14ac:dyDescent="0.2">
      <c r="A577" s="73" t="s">
        <v>950</v>
      </c>
      <c r="B577" s="84">
        <v>44471</v>
      </c>
      <c r="C577" s="74" t="s">
        <v>951</v>
      </c>
      <c r="D577" s="73" t="s">
        <v>102</v>
      </c>
      <c r="E577" s="75">
        <v>19</v>
      </c>
      <c r="F577" s="75">
        <f t="shared" si="188"/>
        <v>102.79</v>
      </c>
      <c r="G577" s="75">
        <f t="shared" si="189"/>
        <v>131.15</v>
      </c>
      <c r="H577" s="76">
        <f t="shared" si="190"/>
        <v>2491.85</v>
      </c>
      <c r="I577" s="75"/>
      <c r="J577" s="75">
        <v>19</v>
      </c>
      <c r="K577" s="75">
        <f t="shared" si="191"/>
        <v>0</v>
      </c>
      <c r="L577" s="76">
        <f t="shared" si="192"/>
        <v>1953.01</v>
      </c>
      <c r="M577" s="76">
        <f t="shared" si="193"/>
        <v>0</v>
      </c>
      <c r="N577" s="76">
        <f t="shared" si="194"/>
        <v>2491.85</v>
      </c>
      <c r="O577" s="76">
        <f t="shared" si="195"/>
        <v>0</v>
      </c>
      <c r="P577" s="90">
        <f t="shared" si="196"/>
        <v>1</v>
      </c>
      <c r="Q577" s="51"/>
      <c r="T577" s="53">
        <v>102.79</v>
      </c>
    </row>
    <row r="578" spans="1:20" s="56" customFormat="1" ht="24" x14ac:dyDescent="0.2">
      <c r="A578" s="94">
        <v>38769</v>
      </c>
      <c r="B578" s="84">
        <v>44472</v>
      </c>
      <c r="C578" s="74" t="s">
        <v>952</v>
      </c>
      <c r="D578" s="73" t="s">
        <v>102</v>
      </c>
      <c r="E578" s="75">
        <v>12</v>
      </c>
      <c r="F578" s="75">
        <f t="shared" si="188"/>
        <v>22.83</v>
      </c>
      <c r="G578" s="75">
        <f t="shared" si="189"/>
        <v>29.13</v>
      </c>
      <c r="H578" s="76">
        <f t="shared" si="190"/>
        <v>349.56</v>
      </c>
      <c r="I578" s="75"/>
      <c r="J578" s="75">
        <v>12</v>
      </c>
      <c r="K578" s="75">
        <f t="shared" si="191"/>
        <v>0</v>
      </c>
      <c r="L578" s="76">
        <f t="shared" si="192"/>
        <v>273.95999999999998</v>
      </c>
      <c r="M578" s="76">
        <f t="shared" si="193"/>
        <v>0</v>
      </c>
      <c r="N578" s="76">
        <f t="shared" si="194"/>
        <v>349.56</v>
      </c>
      <c r="O578" s="76">
        <f t="shared" si="195"/>
        <v>0</v>
      </c>
      <c r="P578" s="90">
        <f t="shared" si="196"/>
        <v>1</v>
      </c>
      <c r="Q578" s="51"/>
      <c r="T578" s="53">
        <v>22.83</v>
      </c>
    </row>
    <row r="579" spans="1:20" s="56" customFormat="1" ht="24" x14ac:dyDescent="0.2">
      <c r="A579" s="94">
        <v>38769</v>
      </c>
      <c r="B579" s="84">
        <v>44473</v>
      </c>
      <c r="C579" s="74" t="s">
        <v>953</v>
      </c>
      <c r="D579" s="73" t="s">
        <v>102</v>
      </c>
      <c r="E579" s="75">
        <v>18</v>
      </c>
      <c r="F579" s="75">
        <f t="shared" si="188"/>
        <v>22.83</v>
      </c>
      <c r="G579" s="75">
        <f t="shared" si="189"/>
        <v>29.13</v>
      </c>
      <c r="H579" s="76">
        <f t="shared" si="190"/>
        <v>524.34</v>
      </c>
      <c r="I579" s="75"/>
      <c r="J579" s="75">
        <v>18</v>
      </c>
      <c r="K579" s="75">
        <f t="shared" si="191"/>
        <v>0</v>
      </c>
      <c r="L579" s="76">
        <f t="shared" si="192"/>
        <v>410.94</v>
      </c>
      <c r="M579" s="76">
        <f t="shared" si="193"/>
        <v>0</v>
      </c>
      <c r="N579" s="76">
        <f t="shared" si="194"/>
        <v>524.34</v>
      </c>
      <c r="O579" s="76">
        <f t="shared" si="195"/>
        <v>0</v>
      </c>
      <c r="P579" s="90">
        <f t="shared" si="196"/>
        <v>1</v>
      </c>
      <c r="Q579" s="51"/>
      <c r="T579" s="53">
        <v>22.83</v>
      </c>
    </row>
    <row r="580" spans="1:20" s="56" customFormat="1" ht="48" x14ac:dyDescent="0.2">
      <c r="A580" s="73" t="s">
        <v>954</v>
      </c>
      <c r="B580" s="84">
        <v>44474</v>
      </c>
      <c r="C580" s="74" t="s">
        <v>955</v>
      </c>
      <c r="D580" s="73" t="s">
        <v>102</v>
      </c>
      <c r="E580" s="75">
        <v>2</v>
      </c>
      <c r="F580" s="75">
        <f t="shared" si="188"/>
        <v>3877.9</v>
      </c>
      <c r="G580" s="75">
        <f t="shared" si="189"/>
        <v>4947.8100000000004</v>
      </c>
      <c r="H580" s="76">
        <f t="shared" si="190"/>
        <v>9895.6200000000008</v>
      </c>
      <c r="I580" s="75"/>
      <c r="J580" s="75">
        <v>2</v>
      </c>
      <c r="K580" s="75">
        <f t="shared" si="191"/>
        <v>0</v>
      </c>
      <c r="L580" s="76">
        <f t="shared" si="192"/>
        <v>7755.8</v>
      </c>
      <c r="M580" s="76">
        <f t="shared" si="193"/>
        <v>0</v>
      </c>
      <c r="N580" s="76">
        <f t="shared" si="194"/>
        <v>9895.6200000000008</v>
      </c>
      <c r="O580" s="76">
        <f t="shared" si="195"/>
        <v>0</v>
      </c>
      <c r="P580" s="90">
        <f t="shared" si="196"/>
        <v>1</v>
      </c>
      <c r="Q580" s="51"/>
      <c r="T580" s="51">
        <v>3877.9</v>
      </c>
    </row>
    <row r="581" spans="1:20" s="56" customFormat="1" ht="48" x14ac:dyDescent="0.2">
      <c r="A581" s="73" t="s">
        <v>956</v>
      </c>
      <c r="B581" s="84">
        <v>44475</v>
      </c>
      <c r="C581" s="74" t="s">
        <v>957</v>
      </c>
      <c r="D581" s="73" t="s">
        <v>102</v>
      </c>
      <c r="E581" s="75">
        <v>4</v>
      </c>
      <c r="F581" s="75">
        <f t="shared" si="188"/>
        <v>2717.21</v>
      </c>
      <c r="G581" s="75">
        <f t="shared" si="189"/>
        <v>3466.89</v>
      </c>
      <c r="H581" s="76">
        <f t="shared" si="190"/>
        <v>13867.56</v>
      </c>
      <c r="I581" s="75"/>
      <c r="J581" s="75">
        <v>4</v>
      </c>
      <c r="K581" s="75">
        <f t="shared" si="191"/>
        <v>0</v>
      </c>
      <c r="L581" s="76">
        <f t="shared" si="192"/>
        <v>10868.84</v>
      </c>
      <c r="M581" s="76">
        <f t="shared" si="193"/>
        <v>0</v>
      </c>
      <c r="N581" s="76">
        <f t="shared" si="194"/>
        <v>13867.56</v>
      </c>
      <c r="O581" s="76">
        <f t="shared" si="195"/>
        <v>0</v>
      </c>
      <c r="P581" s="90">
        <f t="shared" si="196"/>
        <v>1</v>
      </c>
      <c r="Q581" s="51"/>
      <c r="T581" s="51">
        <v>2717.21</v>
      </c>
    </row>
    <row r="582" spans="1:20" s="56" customFormat="1" ht="72" x14ac:dyDescent="0.2">
      <c r="A582" s="73" t="s">
        <v>308</v>
      </c>
      <c r="B582" s="84">
        <v>44476</v>
      </c>
      <c r="C582" s="74" t="s">
        <v>958</v>
      </c>
      <c r="D582" s="73" t="s">
        <v>102</v>
      </c>
      <c r="E582" s="75">
        <v>5</v>
      </c>
      <c r="F582" s="75">
        <f t="shared" si="188"/>
        <v>135.36000000000001</v>
      </c>
      <c r="G582" s="75">
        <f t="shared" si="189"/>
        <v>172.71</v>
      </c>
      <c r="H582" s="76">
        <f t="shared" si="190"/>
        <v>863.55</v>
      </c>
      <c r="I582" s="75"/>
      <c r="J582" s="75">
        <v>5</v>
      </c>
      <c r="K582" s="75">
        <f t="shared" si="191"/>
        <v>0</v>
      </c>
      <c r="L582" s="76">
        <f t="shared" si="192"/>
        <v>676.8</v>
      </c>
      <c r="M582" s="76">
        <f t="shared" si="193"/>
        <v>0</v>
      </c>
      <c r="N582" s="76">
        <f t="shared" si="194"/>
        <v>863.55000000000007</v>
      </c>
      <c r="O582" s="76">
        <f t="shared" si="195"/>
        <v>0</v>
      </c>
      <c r="P582" s="90">
        <f t="shared" si="196"/>
        <v>1.0000000000000002</v>
      </c>
      <c r="Q582" s="51"/>
      <c r="T582" s="53">
        <v>135.36000000000001</v>
      </c>
    </row>
    <row r="583" spans="1:20" s="56" customFormat="1" ht="12" x14ac:dyDescent="0.2">
      <c r="A583" s="72"/>
      <c r="B583" s="71"/>
      <c r="C583" s="71"/>
      <c r="D583" s="71"/>
      <c r="E583" s="71"/>
      <c r="F583" s="75"/>
      <c r="G583" s="77" t="s">
        <v>959</v>
      </c>
      <c r="H583" s="78">
        <f>SUM(H576:H582)</f>
        <v>37402.400000000001</v>
      </c>
      <c r="I583" s="71"/>
      <c r="J583" s="75">
        <v>0</v>
      </c>
      <c r="K583" s="75">
        <f t="shared" si="191"/>
        <v>0</v>
      </c>
      <c r="L583" s="78">
        <f>SUM(L576:L582)</f>
        <v>29314.629999999997</v>
      </c>
      <c r="M583" s="78">
        <f>SUM(M576:M582)</f>
        <v>0</v>
      </c>
      <c r="N583" s="78">
        <f>SUM(N576:N582)</f>
        <v>37402.400000000001</v>
      </c>
      <c r="O583" s="78">
        <f>SUM(O576:O582)</f>
        <v>0</v>
      </c>
      <c r="P583" s="91">
        <f>N583/H583</f>
        <v>1</v>
      </c>
      <c r="Q583" s="60"/>
      <c r="T583" s="59"/>
    </row>
    <row r="584" spans="1:20" s="56" customFormat="1" ht="12" x14ac:dyDescent="0.2">
      <c r="A584" s="72"/>
      <c r="B584" s="70" t="s">
        <v>960</v>
      </c>
      <c r="C584" s="71" t="s">
        <v>961</v>
      </c>
      <c r="D584" s="72"/>
      <c r="E584" s="72"/>
      <c r="F584" s="75"/>
      <c r="G584" s="72"/>
      <c r="H584" s="72"/>
      <c r="I584" s="72"/>
      <c r="J584" s="75">
        <v>0</v>
      </c>
      <c r="K584" s="75">
        <f t="shared" si="191"/>
        <v>0</v>
      </c>
      <c r="L584" s="72"/>
      <c r="M584" s="72"/>
      <c r="N584" s="72"/>
      <c r="O584" s="72"/>
      <c r="P584" s="72"/>
      <c r="Q584" s="52"/>
      <c r="T584" s="52"/>
    </row>
    <row r="585" spans="1:20" s="56" customFormat="1" ht="12" x14ac:dyDescent="0.2">
      <c r="A585" s="94">
        <v>38112</v>
      </c>
      <c r="B585" s="84">
        <v>44501</v>
      </c>
      <c r="C585" s="74" t="s">
        <v>962</v>
      </c>
      <c r="D585" s="73" t="s">
        <v>102</v>
      </c>
      <c r="E585" s="75">
        <v>1</v>
      </c>
      <c r="F585" s="75">
        <f t="shared" ref="F585:F597" si="197">ROUND(T585*$T$10,2)</f>
        <v>5.53</v>
      </c>
      <c r="G585" s="75">
        <f t="shared" ref="G585:G597" si="198">ROUND(F585*(1+$U$1),2)</f>
        <v>7.06</v>
      </c>
      <c r="H585" s="76">
        <f t="shared" ref="H585:H597" si="199">ROUND(E585*G585,2)</f>
        <v>7.06</v>
      </c>
      <c r="I585" s="75"/>
      <c r="J585" s="75">
        <v>1</v>
      </c>
      <c r="K585" s="75">
        <f t="shared" si="191"/>
        <v>0</v>
      </c>
      <c r="L585" s="76">
        <f t="shared" ref="L585:L597" si="200">ROUND(E585*F585,2)</f>
        <v>5.53</v>
      </c>
      <c r="M585" s="76">
        <f t="shared" ref="M585:M597" si="201">I585*G585</f>
        <v>0</v>
      </c>
      <c r="N585" s="76">
        <f t="shared" ref="N585:N597" si="202">J585*G585</f>
        <v>7.06</v>
      </c>
      <c r="O585" s="76">
        <f t="shared" ref="O585:O597" si="203">H585-N585</f>
        <v>0</v>
      </c>
      <c r="P585" s="90">
        <f t="shared" ref="P585:P597" si="204">N585/H585</f>
        <v>1</v>
      </c>
      <c r="Q585" s="51"/>
      <c r="T585" s="53">
        <v>5.53</v>
      </c>
    </row>
    <row r="586" spans="1:20" s="56" customFormat="1" ht="12" x14ac:dyDescent="0.2">
      <c r="A586" s="94">
        <v>38112</v>
      </c>
      <c r="B586" s="84">
        <v>44502</v>
      </c>
      <c r="C586" s="74" t="s">
        <v>963</v>
      </c>
      <c r="D586" s="73" t="s">
        <v>102</v>
      </c>
      <c r="E586" s="75">
        <v>49</v>
      </c>
      <c r="F586" s="75">
        <f t="shared" si="197"/>
        <v>5.53</v>
      </c>
      <c r="G586" s="75">
        <f t="shared" si="198"/>
        <v>7.06</v>
      </c>
      <c r="H586" s="76">
        <f t="shared" si="199"/>
        <v>345.94</v>
      </c>
      <c r="I586" s="75"/>
      <c r="J586" s="75">
        <v>49</v>
      </c>
      <c r="K586" s="75">
        <f t="shared" si="191"/>
        <v>0</v>
      </c>
      <c r="L586" s="76">
        <f t="shared" si="200"/>
        <v>270.97000000000003</v>
      </c>
      <c r="M586" s="76">
        <f t="shared" si="201"/>
        <v>0</v>
      </c>
      <c r="N586" s="76">
        <f t="shared" si="202"/>
        <v>345.94</v>
      </c>
      <c r="O586" s="76">
        <f t="shared" si="203"/>
        <v>0</v>
      </c>
      <c r="P586" s="90">
        <f t="shared" si="204"/>
        <v>1</v>
      </c>
      <c r="Q586" s="51"/>
      <c r="T586" s="53">
        <v>5.53</v>
      </c>
    </row>
    <row r="587" spans="1:20" s="56" customFormat="1" ht="12" x14ac:dyDescent="0.2">
      <c r="A587" s="94">
        <v>38079</v>
      </c>
      <c r="B587" s="84">
        <v>44503</v>
      </c>
      <c r="C587" s="74" t="s">
        <v>964</v>
      </c>
      <c r="D587" s="73" t="s">
        <v>102</v>
      </c>
      <c r="E587" s="75">
        <v>2</v>
      </c>
      <c r="F587" s="75">
        <f t="shared" si="197"/>
        <v>17.579999999999998</v>
      </c>
      <c r="G587" s="75">
        <f t="shared" si="198"/>
        <v>22.43</v>
      </c>
      <c r="H587" s="76">
        <f t="shared" si="199"/>
        <v>44.86</v>
      </c>
      <c r="I587" s="75"/>
      <c r="J587" s="75">
        <v>2</v>
      </c>
      <c r="K587" s="75">
        <f t="shared" si="191"/>
        <v>0</v>
      </c>
      <c r="L587" s="76">
        <f t="shared" si="200"/>
        <v>35.159999999999997</v>
      </c>
      <c r="M587" s="76">
        <f t="shared" si="201"/>
        <v>0</v>
      </c>
      <c r="N587" s="76">
        <f t="shared" si="202"/>
        <v>44.86</v>
      </c>
      <c r="O587" s="76">
        <f t="shared" si="203"/>
        <v>0</v>
      </c>
      <c r="P587" s="90">
        <f t="shared" si="204"/>
        <v>1</v>
      </c>
      <c r="Q587" s="51"/>
      <c r="T587" s="53">
        <v>17.579999999999998</v>
      </c>
    </row>
    <row r="588" spans="1:20" s="56" customFormat="1" ht="12" x14ac:dyDescent="0.2">
      <c r="A588" s="94">
        <v>38071</v>
      </c>
      <c r="B588" s="84">
        <v>44504</v>
      </c>
      <c r="C588" s="74" t="s">
        <v>965</v>
      </c>
      <c r="D588" s="73" t="s">
        <v>102</v>
      </c>
      <c r="E588" s="75">
        <v>5</v>
      </c>
      <c r="F588" s="75">
        <f t="shared" si="197"/>
        <v>13.94</v>
      </c>
      <c r="G588" s="75">
        <f t="shared" si="198"/>
        <v>17.79</v>
      </c>
      <c r="H588" s="76">
        <f t="shared" si="199"/>
        <v>88.95</v>
      </c>
      <c r="I588" s="75"/>
      <c r="J588" s="75">
        <v>5</v>
      </c>
      <c r="K588" s="75">
        <f t="shared" si="191"/>
        <v>0</v>
      </c>
      <c r="L588" s="76">
        <f t="shared" si="200"/>
        <v>69.7</v>
      </c>
      <c r="M588" s="76">
        <f t="shared" si="201"/>
        <v>0</v>
      </c>
      <c r="N588" s="76">
        <f t="shared" si="202"/>
        <v>88.949999999999989</v>
      </c>
      <c r="O588" s="76">
        <f t="shared" si="203"/>
        <v>0</v>
      </c>
      <c r="P588" s="90">
        <f t="shared" si="204"/>
        <v>0.99999999999999989</v>
      </c>
      <c r="Q588" s="51"/>
      <c r="T588" s="53">
        <v>13.94</v>
      </c>
    </row>
    <row r="589" spans="1:20" s="56" customFormat="1" ht="12" x14ac:dyDescent="0.2">
      <c r="A589" s="94">
        <v>38070</v>
      </c>
      <c r="B589" s="84">
        <v>44505</v>
      </c>
      <c r="C589" s="74" t="s">
        <v>966</v>
      </c>
      <c r="D589" s="73" t="s">
        <v>102</v>
      </c>
      <c r="E589" s="75">
        <v>2</v>
      </c>
      <c r="F589" s="75">
        <f t="shared" si="197"/>
        <v>13.47</v>
      </c>
      <c r="G589" s="75">
        <f t="shared" si="198"/>
        <v>17.190000000000001</v>
      </c>
      <c r="H589" s="76">
        <f t="shared" si="199"/>
        <v>34.380000000000003</v>
      </c>
      <c r="I589" s="75"/>
      <c r="J589" s="75">
        <v>2</v>
      </c>
      <c r="K589" s="75">
        <f t="shared" si="191"/>
        <v>0</v>
      </c>
      <c r="L589" s="76">
        <f t="shared" si="200"/>
        <v>26.94</v>
      </c>
      <c r="M589" s="76">
        <f t="shared" si="201"/>
        <v>0</v>
      </c>
      <c r="N589" s="76">
        <f t="shared" si="202"/>
        <v>34.380000000000003</v>
      </c>
      <c r="O589" s="76">
        <f t="shared" si="203"/>
        <v>0</v>
      </c>
      <c r="P589" s="90">
        <f t="shared" si="204"/>
        <v>1</v>
      </c>
      <c r="Q589" s="51"/>
      <c r="T589" s="53">
        <v>13.47</v>
      </c>
    </row>
    <row r="590" spans="1:20" s="56" customFormat="1" ht="12" x14ac:dyDescent="0.2">
      <c r="A590" s="94">
        <v>38070</v>
      </c>
      <c r="B590" s="84">
        <v>44506</v>
      </c>
      <c r="C590" s="74" t="s">
        <v>967</v>
      </c>
      <c r="D590" s="73" t="s">
        <v>102</v>
      </c>
      <c r="E590" s="75">
        <v>18</v>
      </c>
      <c r="F590" s="75">
        <f t="shared" si="197"/>
        <v>13.47</v>
      </c>
      <c r="G590" s="75">
        <f t="shared" si="198"/>
        <v>17.190000000000001</v>
      </c>
      <c r="H590" s="76">
        <f t="shared" si="199"/>
        <v>309.42</v>
      </c>
      <c r="I590" s="75"/>
      <c r="J590" s="75">
        <v>18</v>
      </c>
      <c r="K590" s="75">
        <f t="shared" si="191"/>
        <v>0</v>
      </c>
      <c r="L590" s="76">
        <f t="shared" si="200"/>
        <v>242.46</v>
      </c>
      <c r="M590" s="76">
        <f t="shared" si="201"/>
        <v>0</v>
      </c>
      <c r="N590" s="76">
        <f t="shared" si="202"/>
        <v>309.42</v>
      </c>
      <c r="O590" s="76">
        <f t="shared" si="203"/>
        <v>0</v>
      </c>
      <c r="P590" s="90">
        <f t="shared" si="204"/>
        <v>1</v>
      </c>
      <c r="Q590" s="51"/>
      <c r="T590" s="53">
        <v>13.47</v>
      </c>
    </row>
    <row r="591" spans="1:20" s="56" customFormat="1" ht="12" x14ac:dyDescent="0.2">
      <c r="A591" s="94">
        <v>38074</v>
      </c>
      <c r="B591" s="84">
        <v>44507</v>
      </c>
      <c r="C591" s="74" t="s">
        <v>968</v>
      </c>
      <c r="D591" s="73" t="s">
        <v>102</v>
      </c>
      <c r="E591" s="75">
        <v>2</v>
      </c>
      <c r="F591" s="75">
        <f t="shared" si="197"/>
        <v>20.48</v>
      </c>
      <c r="G591" s="75">
        <f t="shared" si="198"/>
        <v>26.13</v>
      </c>
      <c r="H591" s="76">
        <f t="shared" si="199"/>
        <v>52.26</v>
      </c>
      <c r="I591" s="75"/>
      <c r="J591" s="75">
        <v>2</v>
      </c>
      <c r="K591" s="75">
        <f t="shared" si="191"/>
        <v>0</v>
      </c>
      <c r="L591" s="76">
        <f t="shared" si="200"/>
        <v>40.96</v>
      </c>
      <c r="M591" s="76">
        <f t="shared" si="201"/>
        <v>0</v>
      </c>
      <c r="N591" s="76">
        <f t="shared" si="202"/>
        <v>52.26</v>
      </c>
      <c r="O591" s="76">
        <f t="shared" si="203"/>
        <v>0</v>
      </c>
      <c r="P591" s="90">
        <f t="shared" si="204"/>
        <v>1</v>
      </c>
      <c r="Q591" s="51"/>
      <c r="T591" s="53">
        <v>20.48</v>
      </c>
    </row>
    <row r="592" spans="1:20" s="56" customFormat="1" ht="24" x14ac:dyDescent="0.2">
      <c r="A592" s="73" t="s">
        <v>308</v>
      </c>
      <c r="B592" s="84">
        <v>44508</v>
      </c>
      <c r="C592" s="74" t="s">
        <v>969</v>
      </c>
      <c r="D592" s="73" t="s">
        <v>102</v>
      </c>
      <c r="E592" s="75">
        <v>1</v>
      </c>
      <c r="F592" s="75">
        <f t="shared" si="197"/>
        <v>3.9</v>
      </c>
      <c r="G592" s="75">
        <f t="shared" si="198"/>
        <v>4.9800000000000004</v>
      </c>
      <c r="H592" s="76">
        <f t="shared" si="199"/>
        <v>4.9800000000000004</v>
      </c>
      <c r="I592" s="75"/>
      <c r="J592" s="75">
        <v>1</v>
      </c>
      <c r="K592" s="75">
        <f t="shared" si="191"/>
        <v>0</v>
      </c>
      <c r="L592" s="76">
        <f t="shared" si="200"/>
        <v>3.9</v>
      </c>
      <c r="M592" s="76">
        <f t="shared" si="201"/>
        <v>0</v>
      </c>
      <c r="N592" s="76">
        <f t="shared" si="202"/>
        <v>4.9800000000000004</v>
      </c>
      <c r="O592" s="76">
        <f t="shared" si="203"/>
        <v>0</v>
      </c>
      <c r="P592" s="90">
        <f t="shared" si="204"/>
        <v>1</v>
      </c>
      <c r="Q592" s="51"/>
      <c r="T592" s="53">
        <v>3.9</v>
      </c>
    </row>
    <row r="593" spans="1:20" s="56" customFormat="1" ht="24" x14ac:dyDescent="0.2">
      <c r="A593" s="94">
        <v>38108</v>
      </c>
      <c r="B593" s="84">
        <v>44509</v>
      </c>
      <c r="C593" s="74" t="s">
        <v>970</v>
      </c>
      <c r="D593" s="73" t="s">
        <v>102</v>
      </c>
      <c r="E593" s="75">
        <v>6</v>
      </c>
      <c r="F593" s="75">
        <f t="shared" si="197"/>
        <v>38.54</v>
      </c>
      <c r="G593" s="75">
        <f t="shared" si="198"/>
        <v>49.17</v>
      </c>
      <c r="H593" s="76">
        <f t="shared" si="199"/>
        <v>295.02</v>
      </c>
      <c r="I593" s="75"/>
      <c r="J593" s="75">
        <v>6</v>
      </c>
      <c r="K593" s="75">
        <f t="shared" si="191"/>
        <v>0</v>
      </c>
      <c r="L593" s="76">
        <f t="shared" si="200"/>
        <v>231.24</v>
      </c>
      <c r="M593" s="76">
        <f t="shared" si="201"/>
        <v>0</v>
      </c>
      <c r="N593" s="76">
        <f t="shared" si="202"/>
        <v>295.02</v>
      </c>
      <c r="O593" s="76">
        <f t="shared" si="203"/>
        <v>0</v>
      </c>
      <c r="P593" s="90">
        <f t="shared" si="204"/>
        <v>1</v>
      </c>
      <c r="Q593" s="51"/>
      <c r="T593" s="53">
        <v>38.54</v>
      </c>
    </row>
    <row r="594" spans="1:20" s="56" customFormat="1" ht="12" x14ac:dyDescent="0.2">
      <c r="A594" s="94">
        <v>38092</v>
      </c>
      <c r="B594" s="88">
        <v>40503</v>
      </c>
      <c r="C594" s="74" t="s">
        <v>971</v>
      </c>
      <c r="D594" s="73" t="s">
        <v>102</v>
      </c>
      <c r="E594" s="75">
        <v>49</v>
      </c>
      <c r="F594" s="75">
        <f t="shared" si="197"/>
        <v>1.85</v>
      </c>
      <c r="G594" s="75">
        <f t="shared" si="198"/>
        <v>2.36</v>
      </c>
      <c r="H594" s="76">
        <f t="shared" si="199"/>
        <v>115.64</v>
      </c>
      <c r="I594" s="75"/>
      <c r="J594" s="75">
        <v>49</v>
      </c>
      <c r="K594" s="75">
        <f t="shared" si="191"/>
        <v>0</v>
      </c>
      <c r="L594" s="76">
        <f t="shared" si="200"/>
        <v>90.65</v>
      </c>
      <c r="M594" s="76">
        <f t="shared" si="201"/>
        <v>0</v>
      </c>
      <c r="N594" s="76">
        <f t="shared" si="202"/>
        <v>115.64</v>
      </c>
      <c r="O594" s="76">
        <f t="shared" si="203"/>
        <v>0</v>
      </c>
      <c r="P594" s="90">
        <f t="shared" si="204"/>
        <v>1</v>
      </c>
      <c r="Q594" s="51"/>
      <c r="T594" s="53">
        <v>1.85</v>
      </c>
    </row>
    <row r="595" spans="1:20" s="56" customFormat="1" ht="12" x14ac:dyDescent="0.2">
      <c r="A595" s="94">
        <v>38093</v>
      </c>
      <c r="B595" s="88">
        <v>40868</v>
      </c>
      <c r="C595" s="74" t="s">
        <v>972</v>
      </c>
      <c r="D595" s="73" t="s">
        <v>102</v>
      </c>
      <c r="E595" s="75">
        <v>20</v>
      </c>
      <c r="F595" s="75">
        <f t="shared" si="197"/>
        <v>1.91</v>
      </c>
      <c r="G595" s="75">
        <f t="shared" si="198"/>
        <v>2.44</v>
      </c>
      <c r="H595" s="76">
        <f t="shared" si="199"/>
        <v>48.8</v>
      </c>
      <c r="I595" s="75"/>
      <c r="J595" s="75">
        <v>20</v>
      </c>
      <c r="K595" s="75">
        <f t="shared" si="191"/>
        <v>0</v>
      </c>
      <c r="L595" s="76">
        <f t="shared" si="200"/>
        <v>38.200000000000003</v>
      </c>
      <c r="M595" s="76">
        <f t="shared" si="201"/>
        <v>0</v>
      </c>
      <c r="N595" s="76">
        <f t="shared" si="202"/>
        <v>48.8</v>
      </c>
      <c r="O595" s="76">
        <f t="shared" si="203"/>
        <v>0</v>
      </c>
      <c r="P595" s="90">
        <f t="shared" si="204"/>
        <v>1</v>
      </c>
      <c r="Q595" s="51"/>
      <c r="T595" s="53">
        <v>1.91</v>
      </c>
    </row>
    <row r="596" spans="1:20" s="56" customFormat="1" ht="12" x14ac:dyDescent="0.2">
      <c r="A596" s="94">
        <v>38094</v>
      </c>
      <c r="B596" s="88">
        <v>41234</v>
      </c>
      <c r="C596" s="74" t="s">
        <v>973</v>
      </c>
      <c r="D596" s="73" t="s">
        <v>102</v>
      </c>
      <c r="E596" s="75">
        <v>5</v>
      </c>
      <c r="F596" s="75">
        <f t="shared" si="197"/>
        <v>2.34</v>
      </c>
      <c r="G596" s="75">
        <f t="shared" si="198"/>
        <v>2.99</v>
      </c>
      <c r="H596" s="76">
        <f t="shared" si="199"/>
        <v>14.95</v>
      </c>
      <c r="I596" s="75"/>
      <c r="J596" s="75">
        <v>5</v>
      </c>
      <c r="K596" s="75">
        <f t="shared" si="191"/>
        <v>0</v>
      </c>
      <c r="L596" s="76">
        <f t="shared" si="200"/>
        <v>11.7</v>
      </c>
      <c r="M596" s="76">
        <f t="shared" si="201"/>
        <v>0</v>
      </c>
      <c r="N596" s="76">
        <f t="shared" si="202"/>
        <v>14.950000000000001</v>
      </c>
      <c r="O596" s="76">
        <f t="shared" si="203"/>
        <v>0</v>
      </c>
      <c r="P596" s="90">
        <f t="shared" si="204"/>
        <v>1.0000000000000002</v>
      </c>
      <c r="Q596" s="51"/>
      <c r="T596" s="53">
        <v>2.34</v>
      </c>
    </row>
    <row r="597" spans="1:20" s="56" customFormat="1" ht="24" x14ac:dyDescent="0.2">
      <c r="A597" s="94">
        <v>38097</v>
      </c>
      <c r="B597" s="88">
        <v>41599</v>
      </c>
      <c r="C597" s="74" t="s">
        <v>974</v>
      </c>
      <c r="D597" s="73" t="s">
        <v>102</v>
      </c>
      <c r="E597" s="75">
        <v>1</v>
      </c>
      <c r="F597" s="75">
        <f t="shared" si="197"/>
        <v>4.76</v>
      </c>
      <c r="G597" s="75">
        <f t="shared" si="198"/>
        <v>6.07</v>
      </c>
      <c r="H597" s="76">
        <f t="shared" si="199"/>
        <v>6.07</v>
      </c>
      <c r="I597" s="75"/>
      <c r="J597" s="75">
        <v>1</v>
      </c>
      <c r="K597" s="75">
        <f t="shared" si="191"/>
        <v>0</v>
      </c>
      <c r="L597" s="76">
        <f t="shared" si="200"/>
        <v>4.76</v>
      </c>
      <c r="M597" s="76">
        <f t="shared" si="201"/>
        <v>0</v>
      </c>
      <c r="N597" s="76">
        <f t="shared" si="202"/>
        <v>6.07</v>
      </c>
      <c r="O597" s="76">
        <f t="shared" si="203"/>
        <v>0</v>
      </c>
      <c r="P597" s="90">
        <f t="shared" si="204"/>
        <v>1</v>
      </c>
      <c r="Q597" s="51"/>
      <c r="T597" s="53">
        <v>4.76</v>
      </c>
    </row>
    <row r="598" spans="1:20" s="56" customFormat="1" ht="12" x14ac:dyDescent="0.2">
      <c r="A598" s="72"/>
      <c r="B598" s="71"/>
      <c r="C598" s="71"/>
      <c r="D598" s="71"/>
      <c r="E598" s="71"/>
      <c r="F598" s="75"/>
      <c r="G598" s="77" t="s">
        <v>975</v>
      </c>
      <c r="H598" s="78">
        <f>SUM(H585:H597)</f>
        <v>1368.3300000000002</v>
      </c>
      <c r="I598" s="71"/>
      <c r="J598" s="75"/>
      <c r="K598" s="75">
        <f t="shared" si="191"/>
        <v>0</v>
      </c>
      <c r="L598" s="78">
        <f>SUM(L585:L597)</f>
        <v>1072.17</v>
      </c>
      <c r="M598" s="78">
        <f>SUM(M585:M597)</f>
        <v>0</v>
      </c>
      <c r="N598" s="78">
        <f>SUM(N585:N597)</f>
        <v>1368.3300000000002</v>
      </c>
      <c r="O598" s="78">
        <f>SUM(O585:O597)</f>
        <v>0</v>
      </c>
      <c r="P598" s="91">
        <f>N598/H598</f>
        <v>1</v>
      </c>
      <c r="Q598" s="60"/>
      <c r="T598" s="59"/>
    </row>
    <row r="599" spans="1:20" s="56" customFormat="1" ht="12" x14ac:dyDescent="0.2">
      <c r="A599" s="72"/>
      <c r="B599" s="70" t="s">
        <v>976</v>
      </c>
      <c r="C599" s="71" t="s">
        <v>977</v>
      </c>
      <c r="D599" s="71"/>
      <c r="E599" s="71"/>
      <c r="F599" s="75"/>
      <c r="G599" s="71"/>
      <c r="H599" s="72"/>
      <c r="I599" s="71"/>
      <c r="J599" s="75"/>
      <c r="K599" s="75">
        <f t="shared" si="191"/>
        <v>0</v>
      </c>
      <c r="L599" s="71"/>
      <c r="M599" s="72"/>
      <c r="N599" s="72"/>
      <c r="O599" s="72"/>
      <c r="P599" s="72"/>
      <c r="Q599" s="52"/>
      <c r="T599" s="59"/>
    </row>
    <row r="600" spans="1:20" s="56" customFormat="1" ht="12" x14ac:dyDescent="0.2">
      <c r="A600" s="94">
        <v>38075</v>
      </c>
      <c r="B600" s="84">
        <v>44531</v>
      </c>
      <c r="C600" s="74" t="s">
        <v>978</v>
      </c>
      <c r="D600" s="73" t="s">
        <v>102</v>
      </c>
      <c r="E600" s="75">
        <v>14</v>
      </c>
      <c r="F600" s="75">
        <f t="shared" ref="F600:F605" si="205">ROUND(T600*$T$10,2)</f>
        <v>12.82</v>
      </c>
      <c r="G600" s="75">
        <f t="shared" ref="G600:G605" si="206">ROUND(F600*(1+$U$1),2)</f>
        <v>16.36</v>
      </c>
      <c r="H600" s="76">
        <f t="shared" ref="H600:H605" si="207">ROUND(E600*G600,2)</f>
        <v>229.04</v>
      </c>
      <c r="I600" s="75"/>
      <c r="J600" s="75">
        <v>14</v>
      </c>
      <c r="K600" s="75">
        <f t="shared" si="191"/>
        <v>0</v>
      </c>
      <c r="L600" s="76">
        <f t="shared" ref="L600:L605" si="208">ROUND(E600*F600,2)</f>
        <v>179.48</v>
      </c>
      <c r="M600" s="76">
        <f t="shared" ref="M600:M605" si="209">I600*G600</f>
        <v>0</v>
      </c>
      <c r="N600" s="76">
        <f t="shared" ref="N600:N605" si="210">J600*G600</f>
        <v>229.04</v>
      </c>
      <c r="O600" s="76">
        <f t="shared" ref="O600:O605" si="211">H600-N600</f>
        <v>0</v>
      </c>
      <c r="P600" s="90">
        <f t="shared" ref="P600:P605" si="212">N600/H600</f>
        <v>1</v>
      </c>
      <c r="Q600" s="51"/>
      <c r="T600" s="53">
        <v>12.82</v>
      </c>
    </row>
    <row r="601" spans="1:20" s="56" customFormat="1" ht="36" x14ac:dyDescent="0.2">
      <c r="A601" s="73" t="s">
        <v>308</v>
      </c>
      <c r="B601" s="84">
        <v>44532</v>
      </c>
      <c r="C601" s="74" t="s">
        <v>979</v>
      </c>
      <c r="D601" s="73" t="s">
        <v>102</v>
      </c>
      <c r="E601" s="75">
        <v>7</v>
      </c>
      <c r="F601" s="75">
        <f t="shared" si="205"/>
        <v>3.9</v>
      </c>
      <c r="G601" s="75">
        <f t="shared" si="206"/>
        <v>4.9800000000000004</v>
      </c>
      <c r="H601" s="76">
        <f t="shared" si="207"/>
        <v>34.86</v>
      </c>
      <c r="I601" s="75"/>
      <c r="J601" s="75">
        <v>7</v>
      </c>
      <c r="K601" s="75">
        <f t="shared" si="191"/>
        <v>0</v>
      </c>
      <c r="L601" s="76">
        <f t="shared" si="208"/>
        <v>27.3</v>
      </c>
      <c r="M601" s="76">
        <f t="shared" si="209"/>
        <v>0</v>
      </c>
      <c r="N601" s="76">
        <f t="shared" si="210"/>
        <v>34.86</v>
      </c>
      <c r="O601" s="76">
        <f t="shared" si="211"/>
        <v>0</v>
      </c>
      <c r="P601" s="90">
        <f t="shared" si="212"/>
        <v>1</v>
      </c>
      <c r="Q601" s="51"/>
      <c r="T601" s="53">
        <v>3.9</v>
      </c>
    </row>
    <row r="602" spans="1:20" s="56" customFormat="1" ht="12" x14ac:dyDescent="0.2">
      <c r="A602" s="73" t="s">
        <v>980</v>
      </c>
      <c r="B602" s="84">
        <v>44533</v>
      </c>
      <c r="C602" s="74" t="s">
        <v>981</v>
      </c>
      <c r="D602" s="73" t="s">
        <v>102</v>
      </c>
      <c r="E602" s="75">
        <v>191</v>
      </c>
      <c r="F602" s="75">
        <f t="shared" si="205"/>
        <v>16.91</v>
      </c>
      <c r="G602" s="75">
        <f t="shared" si="206"/>
        <v>21.58</v>
      </c>
      <c r="H602" s="76">
        <f t="shared" si="207"/>
        <v>4121.78</v>
      </c>
      <c r="I602" s="75"/>
      <c r="J602" s="75">
        <v>191</v>
      </c>
      <c r="K602" s="75">
        <f t="shared" si="191"/>
        <v>0</v>
      </c>
      <c r="L602" s="76">
        <f t="shared" si="208"/>
        <v>3229.81</v>
      </c>
      <c r="M602" s="76">
        <f t="shared" si="209"/>
        <v>0</v>
      </c>
      <c r="N602" s="76">
        <f t="shared" si="210"/>
        <v>4121.78</v>
      </c>
      <c r="O602" s="76">
        <f t="shared" si="211"/>
        <v>0</v>
      </c>
      <c r="P602" s="90">
        <f t="shared" si="212"/>
        <v>1</v>
      </c>
      <c r="Q602" s="51"/>
      <c r="T602" s="53">
        <v>16.91</v>
      </c>
    </row>
    <row r="603" spans="1:20" s="56" customFormat="1" ht="12" x14ac:dyDescent="0.2">
      <c r="A603" s="73" t="s">
        <v>982</v>
      </c>
      <c r="B603" s="84">
        <v>44534</v>
      </c>
      <c r="C603" s="74" t="s">
        <v>983</v>
      </c>
      <c r="D603" s="73" t="s">
        <v>102</v>
      </c>
      <c r="E603" s="75">
        <v>8</v>
      </c>
      <c r="F603" s="75">
        <f t="shared" si="205"/>
        <v>36.520000000000003</v>
      </c>
      <c r="G603" s="75">
        <f t="shared" si="206"/>
        <v>46.6</v>
      </c>
      <c r="H603" s="76">
        <f t="shared" si="207"/>
        <v>372.8</v>
      </c>
      <c r="I603" s="75"/>
      <c r="J603" s="75">
        <v>8</v>
      </c>
      <c r="K603" s="75">
        <f t="shared" si="191"/>
        <v>0</v>
      </c>
      <c r="L603" s="76">
        <f t="shared" si="208"/>
        <v>292.16000000000003</v>
      </c>
      <c r="M603" s="76">
        <f t="shared" si="209"/>
        <v>0</v>
      </c>
      <c r="N603" s="76">
        <f t="shared" si="210"/>
        <v>372.8</v>
      </c>
      <c r="O603" s="76">
        <f t="shared" si="211"/>
        <v>0</v>
      </c>
      <c r="P603" s="90">
        <f t="shared" si="212"/>
        <v>1</v>
      </c>
      <c r="Q603" s="51"/>
      <c r="T603" s="53">
        <v>36.520000000000003</v>
      </c>
    </row>
    <row r="604" spans="1:20" s="56" customFormat="1" ht="12" x14ac:dyDescent="0.2">
      <c r="A604" s="94">
        <v>38093</v>
      </c>
      <c r="B604" s="84">
        <v>44535</v>
      </c>
      <c r="C604" s="74" t="s">
        <v>984</v>
      </c>
      <c r="D604" s="73" t="s">
        <v>102</v>
      </c>
      <c r="E604" s="75">
        <v>191</v>
      </c>
      <c r="F604" s="75">
        <f t="shared" si="205"/>
        <v>1.91</v>
      </c>
      <c r="G604" s="75">
        <f t="shared" si="206"/>
        <v>2.44</v>
      </c>
      <c r="H604" s="76">
        <f t="shared" si="207"/>
        <v>466.04</v>
      </c>
      <c r="I604" s="75"/>
      <c r="J604" s="75">
        <v>191</v>
      </c>
      <c r="K604" s="75">
        <f t="shared" si="191"/>
        <v>0</v>
      </c>
      <c r="L604" s="76">
        <f t="shared" si="208"/>
        <v>364.81</v>
      </c>
      <c r="M604" s="76">
        <f t="shared" si="209"/>
        <v>0</v>
      </c>
      <c r="N604" s="76">
        <f t="shared" si="210"/>
        <v>466.03999999999996</v>
      </c>
      <c r="O604" s="76">
        <f t="shared" si="211"/>
        <v>0</v>
      </c>
      <c r="P604" s="90">
        <f t="shared" si="212"/>
        <v>0.99999999999999989</v>
      </c>
      <c r="Q604" s="51"/>
      <c r="T604" s="53">
        <v>1.91</v>
      </c>
    </row>
    <row r="605" spans="1:20" s="56" customFormat="1" ht="12" x14ac:dyDescent="0.2">
      <c r="A605" s="94">
        <v>38091</v>
      </c>
      <c r="B605" s="84">
        <v>44536</v>
      </c>
      <c r="C605" s="74" t="s">
        <v>985</v>
      </c>
      <c r="D605" s="73" t="s">
        <v>102</v>
      </c>
      <c r="E605" s="75">
        <v>28</v>
      </c>
      <c r="F605" s="75">
        <f t="shared" si="205"/>
        <v>1.95</v>
      </c>
      <c r="G605" s="75">
        <f t="shared" si="206"/>
        <v>2.4900000000000002</v>
      </c>
      <c r="H605" s="76">
        <f t="shared" si="207"/>
        <v>69.72</v>
      </c>
      <c r="I605" s="75"/>
      <c r="J605" s="75">
        <v>28</v>
      </c>
      <c r="K605" s="75">
        <f t="shared" si="191"/>
        <v>0</v>
      </c>
      <c r="L605" s="76">
        <f t="shared" si="208"/>
        <v>54.6</v>
      </c>
      <c r="M605" s="76">
        <f t="shared" si="209"/>
        <v>0</v>
      </c>
      <c r="N605" s="76">
        <f t="shared" si="210"/>
        <v>69.72</v>
      </c>
      <c r="O605" s="76">
        <f t="shared" si="211"/>
        <v>0</v>
      </c>
      <c r="P605" s="90">
        <f t="shared" si="212"/>
        <v>1</v>
      </c>
      <c r="Q605" s="51"/>
      <c r="T605" s="53">
        <v>1.95</v>
      </c>
    </row>
    <row r="606" spans="1:20" s="56" customFormat="1" ht="12" x14ac:dyDescent="0.2">
      <c r="A606" s="72"/>
      <c r="B606" s="71"/>
      <c r="C606" s="71"/>
      <c r="D606" s="71"/>
      <c r="E606" s="71"/>
      <c r="F606" s="75"/>
      <c r="G606" s="77" t="s">
        <v>986</v>
      </c>
      <c r="H606" s="78">
        <f>SUM(H600:H605)</f>
        <v>5294.24</v>
      </c>
      <c r="I606" s="71"/>
      <c r="J606" s="75">
        <v>0</v>
      </c>
      <c r="K606" s="75">
        <f t="shared" si="191"/>
        <v>0</v>
      </c>
      <c r="L606" s="78">
        <f>SUM(L600:L605)</f>
        <v>4148.16</v>
      </c>
      <c r="M606" s="78">
        <f>SUM(M600:M605)</f>
        <v>0</v>
      </c>
      <c r="N606" s="78">
        <f>SUM(N600:N605)</f>
        <v>5294.24</v>
      </c>
      <c r="O606" s="78">
        <f>SUM(O600:O605)</f>
        <v>0</v>
      </c>
      <c r="P606" s="91">
        <f>N606/H606</f>
        <v>1</v>
      </c>
      <c r="Q606" s="60"/>
      <c r="T606" s="59"/>
    </row>
    <row r="607" spans="1:20" s="56" customFormat="1" ht="12" x14ac:dyDescent="0.2">
      <c r="A607" s="72"/>
      <c r="B607" s="70" t="s">
        <v>987</v>
      </c>
      <c r="C607" s="71" t="s">
        <v>988</v>
      </c>
      <c r="D607" s="71"/>
      <c r="E607" s="71"/>
      <c r="F607" s="75"/>
      <c r="G607" s="71"/>
      <c r="H607" s="72"/>
      <c r="I607" s="71"/>
      <c r="J607" s="75">
        <v>0</v>
      </c>
      <c r="K607" s="75">
        <f t="shared" si="191"/>
        <v>0</v>
      </c>
      <c r="L607" s="71"/>
      <c r="M607" s="72"/>
      <c r="N607" s="72"/>
      <c r="O607" s="72"/>
      <c r="P607" s="72"/>
      <c r="Q607" s="52"/>
      <c r="T607" s="59"/>
    </row>
    <row r="608" spans="1:20" s="56" customFormat="1" ht="12" x14ac:dyDescent="0.2">
      <c r="A608" s="73" t="s">
        <v>989</v>
      </c>
      <c r="B608" s="73" t="s">
        <v>990</v>
      </c>
      <c r="C608" s="74" t="s">
        <v>991</v>
      </c>
      <c r="D608" s="73" t="s">
        <v>102</v>
      </c>
      <c r="E608" s="75">
        <v>64</v>
      </c>
      <c r="F608" s="75">
        <f t="shared" ref="F608:F613" si="213">ROUND(T608*$T$10,2)</f>
        <v>3.46</v>
      </c>
      <c r="G608" s="75">
        <f t="shared" ref="G608:G613" si="214">ROUND(F608*(1+$U$1),2)</f>
        <v>4.41</v>
      </c>
      <c r="H608" s="76">
        <f t="shared" ref="H608:H613" si="215">ROUND(E608*G608,2)</f>
        <v>282.24</v>
      </c>
      <c r="I608" s="75"/>
      <c r="J608" s="75">
        <v>64</v>
      </c>
      <c r="K608" s="75">
        <f t="shared" si="191"/>
        <v>0</v>
      </c>
      <c r="L608" s="76">
        <f t="shared" ref="L608:L613" si="216">ROUND(E608*F608,2)</f>
        <v>221.44</v>
      </c>
      <c r="M608" s="76">
        <f t="shared" ref="M608:M613" si="217">I608*G608</f>
        <v>0</v>
      </c>
      <c r="N608" s="76">
        <f t="shared" ref="N608:N613" si="218">J608*G608</f>
        <v>282.24</v>
      </c>
      <c r="O608" s="76">
        <f t="shared" ref="O608:O613" si="219">H608-N608</f>
        <v>0</v>
      </c>
      <c r="P608" s="90">
        <f t="shared" ref="P608:P613" si="220">N608/H608</f>
        <v>1</v>
      </c>
      <c r="Q608" s="51"/>
      <c r="T608" s="53">
        <v>3.46</v>
      </c>
    </row>
    <row r="609" spans="1:20" s="56" customFormat="1" ht="12" x14ac:dyDescent="0.2">
      <c r="A609" s="94">
        <v>11950</v>
      </c>
      <c r="B609" s="73" t="s">
        <v>992</v>
      </c>
      <c r="C609" s="74" t="s">
        <v>993</v>
      </c>
      <c r="D609" s="73" t="s">
        <v>102</v>
      </c>
      <c r="E609" s="76">
        <v>1200</v>
      </c>
      <c r="F609" s="75">
        <f t="shared" si="213"/>
        <v>0.14000000000000001</v>
      </c>
      <c r="G609" s="75">
        <f t="shared" si="214"/>
        <v>0.18</v>
      </c>
      <c r="H609" s="76">
        <f t="shared" si="215"/>
        <v>216</v>
      </c>
      <c r="I609" s="76"/>
      <c r="J609" s="75">
        <v>1200</v>
      </c>
      <c r="K609" s="75">
        <f t="shared" si="191"/>
        <v>0</v>
      </c>
      <c r="L609" s="76">
        <f t="shared" si="216"/>
        <v>168</v>
      </c>
      <c r="M609" s="76">
        <f t="shared" si="217"/>
        <v>0</v>
      </c>
      <c r="N609" s="76">
        <f t="shared" si="218"/>
        <v>216</v>
      </c>
      <c r="O609" s="76">
        <f t="shared" si="219"/>
        <v>0</v>
      </c>
      <c r="P609" s="90">
        <f t="shared" si="220"/>
        <v>1</v>
      </c>
      <c r="Q609" s="51"/>
      <c r="T609" s="53">
        <v>0.14000000000000001</v>
      </c>
    </row>
    <row r="610" spans="1:20" s="56" customFormat="1" ht="12" x14ac:dyDescent="0.2">
      <c r="A610" s="73" t="s">
        <v>308</v>
      </c>
      <c r="B610" s="73" t="s">
        <v>994</v>
      </c>
      <c r="C610" s="74" t="s">
        <v>995</v>
      </c>
      <c r="D610" s="73" t="s">
        <v>102</v>
      </c>
      <c r="E610" s="75">
        <v>32</v>
      </c>
      <c r="F610" s="75">
        <f t="shared" si="213"/>
        <v>4.9000000000000004</v>
      </c>
      <c r="G610" s="75">
        <f t="shared" si="214"/>
        <v>6.25</v>
      </c>
      <c r="H610" s="76">
        <f t="shared" si="215"/>
        <v>200</v>
      </c>
      <c r="I610" s="75"/>
      <c r="J610" s="75">
        <v>32</v>
      </c>
      <c r="K610" s="75">
        <f t="shared" si="191"/>
        <v>0</v>
      </c>
      <c r="L610" s="76">
        <f t="shared" si="216"/>
        <v>156.80000000000001</v>
      </c>
      <c r="M610" s="76">
        <f t="shared" si="217"/>
        <v>0</v>
      </c>
      <c r="N610" s="76">
        <f t="shared" si="218"/>
        <v>200</v>
      </c>
      <c r="O610" s="76">
        <f t="shared" si="219"/>
        <v>0</v>
      </c>
      <c r="P610" s="90">
        <f t="shared" si="220"/>
        <v>1</v>
      </c>
      <c r="Q610" s="51"/>
      <c r="T610" s="53">
        <v>4.9000000000000004</v>
      </c>
    </row>
    <row r="611" spans="1:20" s="56" customFormat="1" ht="12" x14ac:dyDescent="0.2">
      <c r="A611" s="73" t="s">
        <v>308</v>
      </c>
      <c r="B611" s="73" t="s">
        <v>996</v>
      </c>
      <c r="C611" s="74" t="s">
        <v>997</v>
      </c>
      <c r="D611" s="73" t="s">
        <v>102</v>
      </c>
      <c r="E611" s="75">
        <v>32</v>
      </c>
      <c r="F611" s="75">
        <f t="shared" si="213"/>
        <v>17</v>
      </c>
      <c r="G611" s="75">
        <f t="shared" si="214"/>
        <v>21.69</v>
      </c>
      <c r="H611" s="76">
        <f t="shared" si="215"/>
        <v>694.08</v>
      </c>
      <c r="I611" s="75"/>
      <c r="J611" s="75">
        <v>32</v>
      </c>
      <c r="K611" s="75">
        <f t="shared" si="191"/>
        <v>0</v>
      </c>
      <c r="L611" s="76">
        <f t="shared" si="216"/>
        <v>544</v>
      </c>
      <c r="M611" s="76">
        <f t="shared" si="217"/>
        <v>0</v>
      </c>
      <c r="N611" s="76">
        <f t="shared" si="218"/>
        <v>694.08</v>
      </c>
      <c r="O611" s="76">
        <f t="shared" si="219"/>
        <v>0</v>
      </c>
      <c r="P611" s="90">
        <f t="shared" si="220"/>
        <v>1</v>
      </c>
      <c r="Q611" s="51"/>
      <c r="T611" s="53">
        <v>17</v>
      </c>
    </row>
    <row r="612" spans="1:20" s="56" customFormat="1" ht="12" x14ac:dyDescent="0.2">
      <c r="A612" s="94">
        <v>39997</v>
      </c>
      <c r="B612" s="73" t="s">
        <v>998</v>
      </c>
      <c r="C612" s="74" t="s">
        <v>999</v>
      </c>
      <c r="D612" s="73" t="s">
        <v>102</v>
      </c>
      <c r="E612" s="75">
        <v>300</v>
      </c>
      <c r="F612" s="75">
        <f t="shared" si="213"/>
        <v>0.14000000000000001</v>
      </c>
      <c r="G612" s="75">
        <f t="shared" si="214"/>
        <v>0.18</v>
      </c>
      <c r="H612" s="76">
        <f t="shared" si="215"/>
        <v>54</v>
      </c>
      <c r="I612" s="75"/>
      <c r="J612" s="75">
        <v>300</v>
      </c>
      <c r="K612" s="75">
        <f t="shared" si="191"/>
        <v>0</v>
      </c>
      <c r="L612" s="76">
        <f t="shared" si="216"/>
        <v>42</v>
      </c>
      <c r="M612" s="76">
        <f t="shared" si="217"/>
        <v>0</v>
      </c>
      <c r="N612" s="76">
        <f t="shared" si="218"/>
        <v>54</v>
      </c>
      <c r="O612" s="76">
        <f t="shared" si="219"/>
        <v>0</v>
      </c>
      <c r="P612" s="90">
        <f t="shared" si="220"/>
        <v>1</v>
      </c>
      <c r="Q612" s="51"/>
      <c r="T612" s="53">
        <v>0.14000000000000001</v>
      </c>
    </row>
    <row r="613" spans="1:20" s="56" customFormat="1" ht="12" x14ac:dyDescent="0.2">
      <c r="A613" s="94">
        <v>39996</v>
      </c>
      <c r="B613" s="73" t="s">
        <v>1000</v>
      </c>
      <c r="C613" s="74" t="s">
        <v>1001</v>
      </c>
      <c r="D613" s="73" t="s">
        <v>81</v>
      </c>
      <c r="E613" s="75">
        <v>120</v>
      </c>
      <c r="F613" s="75">
        <f t="shared" si="213"/>
        <v>2.35</v>
      </c>
      <c r="G613" s="75">
        <f t="shared" si="214"/>
        <v>3</v>
      </c>
      <c r="H613" s="76">
        <f t="shared" si="215"/>
        <v>360</v>
      </c>
      <c r="I613" s="75"/>
      <c r="J613" s="75">
        <v>120</v>
      </c>
      <c r="K613" s="75">
        <f t="shared" si="191"/>
        <v>0</v>
      </c>
      <c r="L613" s="76">
        <f t="shared" si="216"/>
        <v>282</v>
      </c>
      <c r="M613" s="76">
        <f t="shared" si="217"/>
        <v>0</v>
      </c>
      <c r="N613" s="76">
        <f t="shared" si="218"/>
        <v>360</v>
      </c>
      <c r="O613" s="76">
        <f t="shared" si="219"/>
        <v>0</v>
      </c>
      <c r="P613" s="90">
        <f t="shared" si="220"/>
        <v>1</v>
      </c>
      <c r="Q613" s="51"/>
      <c r="T613" s="53">
        <v>2.35</v>
      </c>
    </row>
    <row r="614" spans="1:20" s="56" customFormat="1" ht="12" x14ac:dyDescent="0.2">
      <c r="A614" s="72"/>
      <c r="B614" s="71"/>
      <c r="C614" s="71"/>
      <c r="D614" s="71"/>
      <c r="E614" s="71"/>
      <c r="F614" s="75"/>
      <c r="G614" s="77" t="s">
        <v>1002</v>
      </c>
      <c r="H614" s="78">
        <f>SUM(H608:H613)</f>
        <v>1806.3200000000002</v>
      </c>
      <c r="I614" s="71"/>
      <c r="J614" s="75">
        <v>0</v>
      </c>
      <c r="K614" s="75">
        <f t="shared" si="191"/>
        <v>0</v>
      </c>
      <c r="L614" s="78">
        <f>SUM(L608:L613)</f>
        <v>1414.24</v>
      </c>
      <c r="M614" s="78">
        <f>SUM(M608:M613)</f>
        <v>0</v>
      </c>
      <c r="N614" s="78">
        <f>SUM(N608:N613)</f>
        <v>1806.3200000000002</v>
      </c>
      <c r="O614" s="78">
        <f>SUM(O608:O613)</f>
        <v>0</v>
      </c>
      <c r="P614" s="91">
        <f>N614/H614</f>
        <v>1</v>
      </c>
      <c r="Q614" s="60"/>
      <c r="T614" s="59"/>
    </row>
    <row r="615" spans="1:20" s="56" customFormat="1" ht="24" x14ac:dyDescent="0.2">
      <c r="A615" s="72"/>
      <c r="B615" s="70" t="s">
        <v>1003</v>
      </c>
      <c r="C615" s="71" t="s">
        <v>1004</v>
      </c>
      <c r="D615" s="71"/>
      <c r="E615" s="71"/>
      <c r="F615" s="75"/>
      <c r="G615" s="71"/>
      <c r="H615" s="72"/>
      <c r="I615" s="71"/>
      <c r="J615" s="75"/>
      <c r="K615" s="75"/>
      <c r="L615" s="71"/>
      <c r="M615" s="72"/>
      <c r="N615" s="72"/>
      <c r="O615" s="72"/>
      <c r="P615" s="72"/>
      <c r="Q615" s="52"/>
      <c r="T615" s="59"/>
    </row>
    <row r="616" spans="1:20" s="56" customFormat="1" ht="12" x14ac:dyDescent="0.2">
      <c r="A616" s="72"/>
      <c r="B616" s="70" t="s">
        <v>1005</v>
      </c>
      <c r="C616" s="71" t="s">
        <v>1006</v>
      </c>
      <c r="D616" s="71"/>
      <c r="E616" s="71"/>
      <c r="F616" s="75"/>
      <c r="G616" s="71"/>
      <c r="H616" s="72"/>
      <c r="I616" s="71"/>
      <c r="J616" s="75"/>
      <c r="K616" s="75"/>
      <c r="L616" s="71"/>
      <c r="M616" s="76"/>
      <c r="N616" s="76"/>
      <c r="O616" s="76"/>
      <c r="P616" s="90"/>
      <c r="Q616" s="52"/>
      <c r="T616" s="59"/>
    </row>
    <row r="617" spans="1:20" s="56" customFormat="1" ht="12" x14ac:dyDescent="0.2">
      <c r="A617" s="94">
        <v>4274</v>
      </c>
      <c r="B617" s="73" t="s">
        <v>1007</v>
      </c>
      <c r="C617" s="74" t="s">
        <v>1008</v>
      </c>
      <c r="D617" s="73" t="s">
        <v>1009</v>
      </c>
      <c r="E617" s="75">
        <v>1</v>
      </c>
      <c r="F617" s="75">
        <f>ROUND(T617*$T$10,2)</f>
        <v>72.459999999999994</v>
      </c>
      <c r="G617" s="75">
        <f>ROUND(F617*(1+$U$1),2)</f>
        <v>92.45</v>
      </c>
      <c r="H617" s="76">
        <f>ROUND(E617*G617,2)</f>
        <v>92.45</v>
      </c>
      <c r="I617" s="75"/>
      <c r="J617" s="75">
        <v>1</v>
      </c>
      <c r="K617" s="75">
        <f t="shared" si="191"/>
        <v>0</v>
      </c>
      <c r="L617" s="76">
        <f>ROUND(E617*F617,2)</f>
        <v>72.459999999999994</v>
      </c>
      <c r="M617" s="76">
        <f t="shared" ref="M617:M632" si="221">I617*G617</f>
        <v>0</v>
      </c>
      <c r="N617" s="76">
        <f t="shared" ref="N617:N632" si="222">J617*G617</f>
        <v>92.45</v>
      </c>
      <c r="O617" s="76">
        <f t="shared" ref="O617:O632" si="223">H617-N617</f>
        <v>0</v>
      </c>
      <c r="P617" s="90">
        <f t="shared" ref="P617:P632" si="224">N617/H617</f>
        <v>1</v>
      </c>
      <c r="Q617" s="51"/>
      <c r="T617" s="53">
        <v>72.459999999999994</v>
      </c>
    </row>
    <row r="618" spans="1:20" s="56" customFormat="1" ht="12" x14ac:dyDescent="0.2">
      <c r="A618" s="95">
        <v>863</v>
      </c>
      <c r="B618" s="73" t="s">
        <v>1010</v>
      </c>
      <c r="C618" s="74" t="s">
        <v>1011</v>
      </c>
      <c r="D618" s="73" t="s">
        <v>81</v>
      </c>
      <c r="E618" s="75">
        <v>600</v>
      </c>
      <c r="F618" s="75">
        <f>ROUND(T618*$T$10,2)</f>
        <v>13.97</v>
      </c>
      <c r="G618" s="75">
        <f>ROUND(F618*(1+$U$1),2)</f>
        <v>17.82</v>
      </c>
      <c r="H618" s="76">
        <f>ROUND(E618*G618,2)</f>
        <v>10692</v>
      </c>
      <c r="I618" s="75"/>
      <c r="J618" s="75">
        <v>600</v>
      </c>
      <c r="K618" s="75">
        <f t="shared" si="191"/>
        <v>0</v>
      </c>
      <c r="L618" s="76">
        <f>ROUND(E618*F618,2)</f>
        <v>8382</v>
      </c>
      <c r="M618" s="76">
        <f t="shared" si="221"/>
        <v>0</v>
      </c>
      <c r="N618" s="76">
        <f t="shared" si="222"/>
        <v>10692</v>
      </c>
      <c r="O618" s="76">
        <f t="shared" si="223"/>
        <v>0</v>
      </c>
      <c r="P618" s="90">
        <f t="shared" si="224"/>
        <v>1</v>
      </c>
      <c r="Q618" s="51"/>
      <c r="T618" s="53">
        <v>13.97</v>
      </c>
    </row>
    <row r="619" spans="1:20" s="56" customFormat="1" ht="12" x14ac:dyDescent="0.2">
      <c r="A619" s="73" t="s">
        <v>1012</v>
      </c>
      <c r="B619" s="73" t="s">
        <v>1013</v>
      </c>
      <c r="C619" s="74" t="s">
        <v>1014</v>
      </c>
      <c r="D619" s="73" t="s">
        <v>1009</v>
      </c>
      <c r="E619" s="75">
        <v>12</v>
      </c>
      <c r="F619" s="75">
        <f>ROUND(T619*$T$10,2)</f>
        <v>61.88</v>
      </c>
      <c r="G619" s="75">
        <f>ROUND(F619*(1+$U$1),2)</f>
        <v>78.95</v>
      </c>
      <c r="H619" s="76">
        <f>ROUND(E619*G619,2)</f>
        <v>947.4</v>
      </c>
      <c r="I619" s="75"/>
      <c r="J619" s="75">
        <v>12</v>
      </c>
      <c r="K619" s="75">
        <f t="shared" si="191"/>
        <v>0</v>
      </c>
      <c r="L619" s="76">
        <f>ROUND(E619*F619,2)</f>
        <v>742.56</v>
      </c>
      <c r="M619" s="76">
        <f t="shared" si="221"/>
        <v>0</v>
      </c>
      <c r="N619" s="76">
        <f t="shared" si="222"/>
        <v>947.40000000000009</v>
      </c>
      <c r="O619" s="76">
        <f t="shared" si="223"/>
        <v>0</v>
      </c>
      <c r="P619" s="90">
        <f t="shared" si="224"/>
        <v>1.0000000000000002</v>
      </c>
      <c r="Q619" s="51"/>
      <c r="T619" s="53">
        <v>61.88</v>
      </c>
    </row>
    <row r="620" spans="1:20" s="56" customFormat="1" ht="12" x14ac:dyDescent="0.2">
      <c r="A620" s="72"/>
      <c r="B620" s="70" t="s">
        <v>1015</v>
      </c>
      <c r="C620" s="71" t="s">
        <v>1016</v>
      </c>
      <c r="D620" s="72"/>
      <c r="E620" s="72"/>
      <c r="F620" s="75"/>
      <c r="G620" s="72"/>
      <c r="H620" s="72"/>
      <c r="I620" s="72"/>
      <c r="J620" s="75"/>
      <c r="K620" s="75"/>
      <c r="L620" s="72"/>
      <c r="M620" s="76"/>
      <c r="N620" s="76"/>
      <c r="O620" s="76"/>
      <c r="P620" s="90"/>
      <c r="Q620" s="52"/>
      <c r="T620" s="52"/>
    </row>
    <row r="621" spans="1:20" s="56" customFormat="1" ht="12" x14ac:dyDescent="0.2">
      <c r="A621" s="73" t="s">
        <v>308</v>
      </c>
      <c r="B621" s="73" t="s">
        <v>1017</v>
      </c>
      <c r="C621" s="74" t="s">
        <v>1018</v>
      </c>
      <c r="D621" s="73" t="s">
        <v>1009</v>
      </c>
      <c r="E621" s="75">
        <v>2</v>
      </c>
      <c r="F621" s="75">
        <f>ROUND(T621*$T$10,2)</f>
        <v>4.3899999999999997</v>
      </c>
      <c r="G621" s="75">
        <f>ROUND(F621*(1+$U$1),2)</f>
        <v>5.6</v>
      </c>
      <c r="H621" s="76">
        <f>ROUND(E621*G621,2)</f>
        <v>11.2</v>
      </c>
      <c r="I621" s="75"/>
      <c r="J621" s="75">
        <v>2</v>
      </c>
      <c r="K621" s="75">
        <f t="shared" si="191"/>
        <v>0</v>
      </c>
      <c r="L621" s="76">
        <f>ROUND(E621*F621,2)</f>
        <v>8.7799999999999994</v>
      </c>
      <c r="M621" s="76">
        <f t="shared" si="221"/>
        <v>0</v>
      </c>
      <c r="N621" s="76">
        <f t="shared" si="222"/>
        <v>11.2</v>
      </c>
      <c r="O621" s="76">
        <f t="shared" si="223"/>
        <v>0</v>
      </c>
      <c r="P621" s="90">
        <f t="shared" si="224"/>
        <v>1</v>
      </c>
      <c r="Q621" s="51"/>
      <c r="T621" s="53">
        <v>4.3899999999999997</v>
      </c>
    </row>
    <row r="622" spans="1:20" s="56" customFormat="1" ht="12" x14ac:dyDescent="0.2">
      <c r="A622" s="73" t="s">
        <v>1019</v>
      </c>
      <c r="B622" s="73" t="s">
        <v>1020</v>
      </c>
      <c r="C622" s="74" t="s">
        <v>1021</v>
      </c>
      <c r="D622" s="73" t="s">
        <v>1009</v>
      </c>
      <c r="E622" s="75">
        <v>40</v>
      </c>
      <c r="F622" s="75">
        <f>ROUND(T622*$T$10,2)</f>
        <v>5.64</v>
      </c>
      <c r="G622" s="75">
        <f>ROUND(F622*(1+$U$1),2)</f>
        <v>7.2</v>
      </c>
      <c r="H622" s="76">
        <f>ROUND(E622*G622,2)</f>
        <v>288</v>
      </c>
      <c r="I622" s="75"/>
      <c r="J622" s="75">
        <v>40</v>
      </c>
      <c r="K622" s="75">
        <f t="shared" si="191"/>
        <v>0</v>
      </c>
      <c r="L622" s="76">
        <f>ROUND(E622*F622,2)</f>
        <v>225.6</v>
      </c>
      <c r="M622" s="76">
        <f t="shared" si="221"/>
        <v>0</v>
      </c>
      <c r="N622" s="76">
        <f t="shared" si="222"/>
        <v>288</v>
      </c>
      <c r="O622" s="76">
        <f t="shared" si="223"/>
        <v>0</v>
      </c>
      <c r="P622" s="90">
        <f t="shared" si="224"/>
        <v>1</v>
      </c>
      <c r="Q622" s="51"/>
      <c r="T622" s="53">
        <v>5.64</v>
      </c>
    </row>
    <row r="623" spans="1:20" s="56" customFormat="1" ht="12" x14ac:dyDescent="0.2">
      <c r="A623" s="73" t="s">
        <v>308</v>
      </c>
      <c r="B623" s="73" t="s">
        <v>1022</v>
      </c>
      <c r="C623" s="74" t="s">
        <v>1023</v>
      </c>
      <c r="D623" s="73" t="s">
        <v>1009</v>
      </c>
      <c r="E623" s="75">
        <v>76</v>
      </c>
      <c r="F623" s="75">
        <f>ROUND(T623*$T$10,2)</f>
        <v>1.84</v>
      </c>
      <c r="G623" s="75">
        <f>ROUND(F623*(1+$U$1),2)</f>
        <v>2.35</v>
      </c>
      <c r="H623" s="76">
        <f>ROUND(E623*G623,2)</f>
        <v>178.6</v>
      </c>
      <c r="I623" s="75"/>
      <c r="J623" s="75">
        <v>76</v>
      </c>
      <c r="K623" s="75">
        <f t="shared" si="191"/>
        <v>0</v>
      </c>
      <c r="L623" s="76">
        <f>ROUND(E623*F623,2)</f>
        <v>139.84</v>
      </c>
      <c r="M623" s="76">
        <f t="shared" si="221"/>
        <v>0</v>
      </c>
      <c r="N623" s="76">
        <f t="shared" si="222"/>
        <v>178.6</v>
      </c>
      <c r="O623" s="76">
        <f t="shared" si="223"/>
        <v>0</v>
      </c>
      <c r="P623" s="90">
        <f t="shared" si="224"/>
        <v>1</v>
      </c>
      <c r="Q623" s="51"/>
      <c r="T623" s="53">
        <v>1.84</v>
      </c>
    </row>
    <row r="624" spans="1:20" s="56" customFormat="1" ht="12" x14ac:dyDescent="0.2">
      <c r="A624" s="73" t="s">
        <v>1024</v>
      </c>
      <c r="B624" s="73" t="s">
        <v>1025</v>
      </c>
      <c r="C624" s="74" t="s">
        <v>1026</v>
      </c>
      <c r="D624" s="73" t="s">
        <v>1009</v>
      </c>
      <c r="E624" s="75">
        <v>130</v>
      </c>
      <c r="F624" s="75">
        <f>ROUND(T624*$T$10,2)</f>
        <v>6.28</v>
      </c>
      <c r="G624" s="75">
        <f>ROUND(F624*(1+$U$1),2)</f>
        <v>8.01</v>
      </c>
      <c r="H624" s="76">
        <f>ROUND(E624*G624,2)</f>
        <v>1041.3</v>
      </c>
      <c r="I624" s="75"/>
      <c r="J624" s="75">
        <v>130</v>
      </c>
      <c r="K624" s="75">
        <f t="shared" si="191"/>
        <v>0</v>
      </c>
      <c r="L624" s="76">
        <f>ROUND(E624*F624,2)</f>
        <v>816.4</v>
      </c>
      <c r="M624" s="76">
        <f t="shared" si="221"/>
        <v>0</v>
      </c>
      <c r="N624" s="76">
        <f t="shared" si="222"/>
        <v>1041.3</v>
      </c>
      <c r="O624" s="76">
        <f t="shared" si="223"/>
        <v>0</v>
      </c>
      <c r="P624" s="90">
        <f t="shared" si="224"/>
        <v>1</v>
      </c>
      <c r="Q624" s="51"/>
      <c r="T624" s="53">
        <v>6.28</v>
      </c>
    </row>
    <row r="625" spans="1:20" s="56" customFormat="1" ht="12" x14ac:dyDescent="0.2">
      <c r="A625" s="72"/>
      <c r="B625" s="70" t="s">
        <v>1027</v>
      </c>
      <c r="C625" s="71" t="s">
        <v>1028</v>
      </c>
      <c r="D625" s="72"/>
      <c r="E625" s="72"/>
      <c r="F625" s="75"/>
      <c r="G625" s="72"/>
      <c r="H625" s="72"/>
      <c r="I625" s="72"/>
      <c r="J625" s="75"/>
      <c r="K625" s="75"/>
      <c r="L625" s="72"/>
      <c r="M625" s="76"/>
      <c r="N625" s="76"/>
      <c r="O625" s="76"/>
      <c r="P625" s="90"/>
      <c r="Q625" s="52"/>
      <c r="T625" s="52"/>
    </row>
    <row r="626" spans="1:20" s="56" customFormat="1" ht="12" x14ac:dyDescent="0.2">
      <c r="A626" s="73" t="s">
        <v>1012</v>
      </c>
      <c r="B626" s="73" t="s">
        <v>1029</v>
      </c>
      <c r="C626" s="74" t="s">
        <v>1014</v>
      </c>
      <c r="D626" s="73" t="s">
        <v>1009</v>
      </c>
      <c r="E626" s="75">
        <v>34</v>
      </c>
      <c r="F626" s="75">
        <f>ROUND(T626*$T$10,2)</f>
        <v>61.88</v>
      </c>
      <c r="G626" s="75">
        <f>ROUND(F626*(1+$U$1),2)</f>
        <v>78.95</v>
      </c>
      <c r="H626" s="76">
        <f>ROUND(E626*G626,2)</f>
        <v>2684.3</v>
      </c>
      <c r="I626" s="75"/>
      <c r="J626" s="75">
        <v>34</v>
      </c>
      <c r="K626" s="75">
        <f t="shared" si="191"/>
        <v>0</v>
      </c>
      <c r="L626" s="76">
        <f>ROUND(E626*F626,2)</f>
        <v>2103.92</v>
      </c>
      <c r="M626" s="76">
        <f t="shared" si="221"/>
        <v>0</v>
      </c>
      <c r="N626" s="76">
        <f t="shared" si="222"/>
        <v>2684.3</v>
      </c>
      <c r="O626" s="76">
        <f t="shared" si="223"/>
        <v>0</v>
      </c>
      <c r="P626" s="90">
        <f t="shared" si="224"/>
        <v>1</v>
      </c>
      <c r="Q626" s="51"/>
      <c r="T626" s="53">
        <v>61.88</v>
      </c>
    </row>
    <row r="627" spans="1:20" s="56" customFormat="1" ht="12" x14ac:dyDescent="0.2">
      <c r="A627" s="72"/>
      <c r="B627" s="70" t="s">
        <v>1030</v>
      </c>
      <c r="C627" s="71" t="s">
        <v>1031</v>
      </c>
      <c r="D627" s="72"/>
      <c r="E627" s="72"/>
      <c r="F627" s="75"/>
      <c r="G627" s="72"/>
      <c r="H627" s="72"/>
      <c r="I627" s="72"/>
      <c r="J627" s="75"/>
      <c r="K627" s="75"/>
      <c r="L627" s="72"/>
      <c r="M627" s="76"/>
      <c r="N627" s="76"/>
      <c r="O627" s="76"/>
      <c r="P627" s="90"/>
      <c r="Q627" s="52"/>
      <c r="T627" s="52"/>
    </row>
    <row r="628" spans="1:20" s="56" customFormat="1" ht="12" x14ac:dyDescent="0.2">
      <c r="A628" s="73" t="s">
        <v>1012</v>
      </c>
      <c r="B628" s="73" t="s">
        <v>1032</v>
      </c>
      <c r="C628" s="74" t="s">
        <v>1014</v>
      </c>
      <c r="D628" s="73" t="s">
        <v>1009</v>
      </c>
      <c r="E628" s="75">
        <v>43</v>
      </c>
      <c r="F628" s="75">
        <f>ROUND(T628*$T$10,2)</f>
        <v>61.88</v>
      </c>
      <c r="G628" s="75">
        <f>ROUND(F628*(1+$U$1),2)</f>
        <v>78.95</v>
      </c>
      <c r="H628" s="76">
        <f>ROUND(E628*G628,2)</f>
        <v>3394.85</v>
      </c>
      <c r="I628" s="75"/>
      <c r="J628" s="75">
        <v>43</v>
      </c>
      <c r="K628" s="75">
        <f t="shared" si="191"/>
        <v>0</v>
      </c>
      <c r="L628" s="76">
        <f>ROUND(E628*F628,2)</f>
        <v>2660.84</v>
      </c>
      <c r="M628" s="76">
        <f t="shared" si="221"/>
        <v>0</v>
      </c>
      <c r="N628" s="76">
        <f t="shared" si="222"/>
        <v>3394.85</v>
      </c>
      <c r="O628" s="76">
        <f t="shared" si="223"/>
        <v>0</v>
      </c>
      <c r="P628" s="90">
        <f t="shared" si="224"/>
        <v>1</v>
      </c>
      <c r="Q628" s="51"/>
      <c r="T628" s="53">
        <v>61.88</v>
      </c>
    </row>
    <row r="629" spans="1:20" s="56" customFormat="1" ht="24" x14ac:dyDescent="0.2">
      <c r="A629" s="73" t="s">
        <v>1033</v>
      </c>
      <c r="B629" s="73" t="s">
        <v>1034</v>
      </c>
      <c r="C629" s="74" t="s">
        <v>1035</v>
      </c>
      <c r="D629" s="73" t="s">
        <v>1009</v>
      </c>
      <c r="E629" s="75">
        <v>2</v>
      </c>
      <c r="F629" s="75">
        <f>ROUND(T629*$T$10,2)</f>
        <v>25.37</v>
      </c>
      <c r="G629" s="75">
        <f>ROUND(F629*(1+$U$1),2)</f>
        <v>32.369999999999997</v>
      </c>
      <c r="H629" s="76">
        <f>ROUND(E629*G629,2)</f>
        <v>64.739999999999995</v>
      </c>
      <c r="I629" s="75"/>
      <c r="J629" s="75">
        <v>2</v>
      </c>
      <c r="K629" s="75">
        <f t="shared" si="191"/>
        <v>0</v>
      </c>
      <c r="L629" s="76">
        <f>ROUND(E629*F629,2)</f>
        <v>50.74</v>
      </c>
      <c r="M629" s="76">
        <f t="shared" si="221"/>
        <v>0</v>
      </c>
      <c r="N629" s="76">
        <f t="shared" si="222"/>
        <v>64.739999999999995</v>
      </c>
      <c r="O629" s="76">
        <f t="shared" si="223"/>
        <v>0</v>
      </c>
      <c r="P629" s="90">
        <f t="shared" si="224"/>
        <v>1</v>
      </c>
      <c r="Q629" s="51"/>
      <c r="T629" s="53">
        <v>25.37</v>
      </c>
    </row>
    <row r="630" spans="1:20" s="56" customFormat="1" ht="12" x14ac:dyDescent="0.2">
      <c r="A630" s="94">
        <v>72254</v>
      </c>
      <c r="B630" s="73" t="s">
        <v>1036</v>
      </c>
      <c r="C630" s="74" t="s">
        <v>1037</v>
      </c>
      <c r="D630" s="73" t="s">
        <v>81</v>
      </c>
      <c r="E630" s="75">
        <v>75</v>
      </c>
      <c r="F630" s="75">
        <f>ROUND(T630*$T$10,2)</f>
        <v>30.9</v>
      </c>
      <c r="G630" s="75">
        <f>ROUND(F630*(1+$U$1),2)</f>
        <v>39.43</v>
      </c>
      <c r="H630" s="76">
        <f>ROUND(E630*G630,2)</f>
        <v>2957.25</v>
      </c>
      <c r="I630" s="75"/>
      <c r="J630" s="75">
        <v>75</v>
      </c>
      <c r="K630" s="75">
        <f t="shared" si="191"/>
        <v>0</v>
      </c>
      <c r="L630" s="76">
        <f>ROUND(E630*F630,2)</f>
        <v>2317.5</v>
      </c>
      <c r="M630" s="76">
        <f t="shared" si="221"/>
        <v>0</v>
      </c>
      <c r="N630" s="76">
        <f t="shared" si="222"/>
        <v>2957.25</v>
      </c>
      <c r="O630" s="76">
        <f t="shared" si="223"/>
        <v>0</v>
      </c>
      <c r="P630" s="90">
        <f t="shared" si="224"/>
        <v>1</v>
      </c>
      <c r="Q630" s="51"/>
      <c r="T630" s="53">
        <v>30.9</v>
      </c>
    </row>
    <row r="631" spans="1:20" s="56" customFormat="1" ht="12" x14ac:dyDescent="0.2">
      <c r="A631" s="72"/>
      <c r="B631" s="70" t="s">
        <v>1038</v>
      </c>
      <c r="C631" s="71" t="s">
        <v>1039</v>
      </c>
      <c r="D631" s="72"/>
      <c r="E631" s="72"/>
      <c r="F631" s="75"/>
      <c r="G631" s="72"/>
      <c r="H631" s="72"/>
      <c r="I631" s="72"/>
      <c r="J631" s="75"/>
      <c r="K631" s="75"/>
      <c r="L631" s="72"/>
      <c r="M631" s="76"/>
      <c r="N631" s="76"/>
      <c r="O631" s="76"/>
      <c r="P631" s="90"/>
      <c r="Q631" s="52"/>
      <c r="T631" s="52"/>
    </row>
    <row r="632" spans="1:20" s="56" customFormat="1" ht="24" x14ac:dyDescent="0.2">
      <c r="A632" s="73" t="s">
        <v>1040</v>
      </c>
      <c r="B632" s="73" t="s">
        <v>1041</v>
      </c>
      <c r="C632" s="74" t="s">
        <v>1042</v>
      </c>
      <c r="D632" s="73" t="s">
        <v>1009</v>
      </c>
      <c r="E632" s="75">
        <v>2</v>
      </c>
      <c r="F632" s="75">
        <f>ROUND(T632*$T$10,2)</f>
        <v>202.58</v>
      </c>
      <c r="G632" s="75">
        <f>ROUND(F632*(1+$U$1),2)</f>
        <v>258.47000000000003</v>
      </c>
      <c r="H632" s="76">
        <f>ROUND(E632*G632,2)</f>
        <v>516.94000000000005</v>
      </c>
      <c r="I632" s="75"/>
      <c r="J632" s="75">
        <v>2</v>
      </c>
      <c r="K632" s="75">
        <f t="shared" si="191"/>
        <v>0</v>
      </c>
      <c r="L632" s="76">
        <f>ROUND(E632*F632,2)</f>
        <v>405.16</v>
      </c>
      <c r="M632" s="76">
        <f t="shared" si="221"/>
        <v>0</v>
      </c>
      <c r="N632" s="76">
        <f t="shared" si="222"/>
        <v>516.94000000000005</v>
      </c>
      <c r="O632" s="76">
        <f t="shared" si="223"/>
        <v>0</v>
      </c>
      <c r="P632" s="90">
        <f t="shared" si="224"/>
        <v>1</v>
      </c>
      <c r="Q632" s="51"/>
      <c r="T632" s="53">
        <v>202.58</v>
      </c>
    </row>
    <row r="633" spans="1:20" s="56" customFormat="1" ht="12" x14ac:dyDescent="0.2">
      <c r="A633" s="72"/>
      <c r="B633" s="71"/>
      <c r="C633" s="71"/>
      <c r="D633" s="71"/>
      <c r="E633" s="71"/>
      <c r="F633" s="75"/>
      <c r="G633" s="77" t="s">
        <v>1043</v>
      </c>
      <c r="H633" s="78">
        <f>SUM(H617:H632)</f>
        <v>22869.03</v>
      </c>
      <c r="I633" s="71"/>
      <c r="J633" s="75">
        <v>0</v>
      </c>
      <c r="K633" s="75">
        <f t="shared" si="191"/>
        <v>0</v>
      </c>
      <c r="L633" s="78">
        <f>SUM(L617:L632)</f>
        <v>17925.8</v>
      </c>
      <c r="M633" s="78">
        <f>SUM(M617:M632)</f>
        <v>0</v>
      </c>
      <c r="N633" s="78">
        <f>SUM(N617:N632)</f>
        <v>22869.03</v>
      </c>
      <c r="O633" s="78">
        <f>SUM(O617:O632)</f>
        <v>0</v>
      </c>
      <c r="P633" s="91">
        <f>N633/H633</f>
        <v>1</v>
      </c>
      <c r="Q633" s="60"/>
      <c r="T633" s="59"/>
    </row>
    <row r="634" spans="1:20" s="56" customFormat="1" ht="12" x14ac:dyDescent="0.2">
      <c r="A634" s="72"/>
      <c r="B634" s="71"/>
      <c r="C634" s="71"/>
      <c r="D634" s="71"/>
      <c r="E634" s="71"/>
      <c r="F634" s="75"/>
      <c r="G634" s="77" t="s">
        <v>1044</v>
      </c>
      <c r="H634" s="78">
        <f>SUM(H480,H484,H492,H497,H511,H527,H542,H556,H574,H583,H598,H606,H614,H633)</f>
        <v>143359.72000000003</v>
      </c>
      <c r="I634" s="71"/>
      <c r="J634" s="75">
        <v>0</v>
      </c>
      <c r="K634" s="75">
        <f t="shared" si="191"/>
        <v>0</v>
      </c>
      <c r="L634" s="78">
        <f>SUM(L480,L484,L492,L497,L511,L527,L542,L556,L574,L583,L598,L606,L614,L633)</f>
        <v>112385.00000000001</v>
      </c>
      <c r="M634" s="78">
        <f>SUM(M480,M484,M492,M497,M511,M527,M542,M556,M574,M583,M598,M606,M614,M633)</f>
        <v>5821.8799999999992</v>
      </c>
      <c r="N634" s="78">
        <f>SUM(N480,N484,N492,N497,N511,N527,N542,N556,N574,N583,N598,N606,N614,N633)</f>
        <v>143359.72000000003</v>
      </c>
      <c r="O634" s="78">
        <f>SUM(O480,O484,O492,O497,O511,O527,O542,O556,O574,O583,O598,O606,O614,O633)</f>
        <v>0</v>
      </c>
      <c r="P634" s="91">
        <f>N634/H634</f>
        <v>1</v>
      </c>
      <c r="Q634" s="60"/>
      <c r="R634" s="58"/>
      <c r="T634" s="59"/>
    </row>
    <row r="635" spans="1:20" s="56" customFormat="1" ht="12" x14ac:dyDescent="0.2">
      <c r="A635" s="72"/>
      <c r="B635" s="70" t="s">
        <v>1045</v>
      </c>
      <c r="C635" s="71" t="s">
        <v>1046</v>
      </c>
      <c r="D635" s="72"/>
      <c r="E635" s="72"/>
      <c r="F635" s="75"/>
      <c r="G635" s="72"/>
      <c r="H635" s="72"/>
      <c r="I635" s="72"/>
      <c r="J635" s="75">
        <v>0</v>
      </c>
      <c r="K635" s="75">
        <f t="shared" si="191"/>
        <v>0</v>
      </c>
      <c r="L635" s="72"/>
      <c r="M635" s="72"/>
      <c r="N635" s="72"/>
      <c r="O635" s="72"/>
      <c r="P635" s="72"/>
      <c r="Q635" s="52"/>
      <c r="T635" s="52"/>
    </row>
    <row r="636" spans="1:20" s="56" customFormat="1" ht="12" x14ac:dyDescent="0.2">
      <c r="A636" s="72"/>
      <c r="B636" s="70" t="s">
        <v>1047</v>
      </c>
      <c r="C636" s="71" t="s">
        <v>1048</v>
      </c>
      <c r="D636" s="72"/>
      <c r="E636" s="72"/>
      <c r="F636" s="75"/>
      <c r="G636" s="72"/>
      <c r="H636" s="72"/>
      <c r="I636" s="72"/>
      <c r="J636" s="75"/>
      <c r="K636" s="75"/>
      <c r="L636" s="72"/>
      <c r="M636" s="72"/>
      <c r="N636" s="72"/>
      <c r="O636" s="72"/>
      <c r="P636" s="90"/>
      <c r="Q636" s="52"/>
      <c r="T636" s="52"/>
    </row>
    <row r="637" spans="1:20" s="56" customFormat="1" ht="12" x14ac:dyDescent="0.2">
      <c r="A637" s="94">
        <v>98302</v>
      </c>
      <c r="B637" s="80">
        <v>44562</v>
      </c>
      <c r="C637" s="74" t="s">
        <v>1049</v>
      </c>
      <c r="D637" s="73" t="s">
        <v>102</v>
      </c>
      <c r="E637" s="75">
        <v>4</v>
      </c>
      <c r="F637" s="75">
        <f t="shared" ref="F637:F643" si="225">ROUND(T637*$T$10,2)</f>
        <v>683.89</v>
      </c>
      <c r="G637" s="75">
        <f t="shared" ref="G637:G645" si="226">ROUND(F637*(1+$U$1),2)</f>
        <v>872.58</v>
      </c>
      <c r="H637" s="76">
        <f t="shared" ref="H637:H643" si="227">ROUND(E637*G637,2)</f>
        <v>3490.32</v>
      </c>
      <c r="I637" s="75">
        <v>4</v>
      </c>
      <c r="J637" s="75">
        <f>I637</f>
        <v>4</v>
      </c>
      <c r="K637" s="75">
        <f t="shared" si="191"/>
        <v>0</v>
      </c>
      <c r="L637" s="76">
        <f t="shared" ref="L637:L645" si="228">ROUND(E637*F637,2)</f>
        <v>2735.56</v>
      </c>
      <c r="M637" s="76">
        <f t="shared" ref="M637:M645" si="229">I637*G637</f>
        <v>3490.32</v>
      </c>
      <c r="N637" s="76">
        <f t="shared" ref="N637:N645" si="230">J637*G637</f>
        <v>3490.32</v>
      </c>
      <c r="O637" s="76">
        <f t="shared" ref="O637:O645" si="231">H637-N637</f>
        <v>0</v>
      </c>
      <c r="P637" s="90">
        <f t="shared" ref="P637:P645" si="232">N637/H637</f>
        <v>1</v>
      </c>
      <c r="Q637" s="51"/>
      <c r="T637" s="53">
        <v>683.89</v>
      </c>
    </row>
    <row r="638" spans="1:20" s="56" customFormat="1" ht="12" x14ac:dyDescent="0.2">
      <c r="A638" s="73" t="s">
        <v>308</v>
      </c>
      <c r="B638" s="80">
        <v>44563</v>
      </c>
      <c r="C638" s="74" t="s">
        <v>1050</v>
      </c>
      <c r="D638" s="73" t="s">
        <v>102</v>
      </c>
      <c r="E638" s="75">
        <v>1</v>
      </c>
      <c r="F638" s="75">
        <f t="shared" si="225"/>
        <v>159.38</v>
      </c>
      <c r="G638" s="75">
        <f t="shared" si="226"/>
        <v>203.35</v>
      </c>
      <c r="H638" s="76">
        <f t="shared" si="227"/>
        <v>203.35</v>
      </c>
      <c r="I638" s="75">
        <v>1</v>
      </c>
      <c r="J638" s="75">
        <f t="shared" ref="J638:J645" si="233">I638</f>
        <v>1</v>
      </c>
      <c r="K638" s="75">
        <f t="shared" si="191"/>
        <v>0</v>
      </c>
      <c r="L638" s="76">
        <f t="shared" si="228"/>
        <v>159.38</v>
      </c>
      <c r="M638" s="76">
        <f t="shared" si="229"/>
        <v>203.35</v>
      </c>
      <c r="N638" s="76">
        <f t="shared" si="230"/>
        <v>203.35</v>
      </c>
      <c r="O638" s="76">
        <f t="shared" si="231"/>
        <v>0</v>
      </c>
      <c r="P638" s="90">
        <f t="shared" si="232"/>
        <v>1</v>
      </c>
      <c r="Q638" s="51"/>
      <c r="T638" s="53">
        <v>159.38</v>
      </c>
    </row>
    <row r="639" spans="1:20" s="56" customFormat="1" ht="12" x14ac:dyDescent="0.2">
      <c r="A639" s="73" t="s">
        <v>1051</v>
      </c>
      <c r="B639" s="80">
        <v>44564</v>
      </c>
      <c r="C639" s="74" t="s">
        <v>1052</v>
      </c>
      <c r="D639" s="73" t="s">
        <v>102</v>
      </c>
      <c r="E639" s="75">
        <v>6</v>
      </c>
      <c r="F639" s="75">
        <f t="shared" si="225"/>
        <v>9.15</v>
      </c>
      <c r="G639" s="75">
        <f t="shared" si="226"/>
        <v>11.67</v>
      </c>
      <c r="H639" s="76">
        <f t="shared" si="227"/>
        <v>70.02</v>
      </c>
      <c r="I639" s="75">
        <v>6</v>
      </c>
      <c r="J639" s="75">
        <f t="shared" si="233"/>
        <v>6</v>
      </c>
      <c r="K639" s="75">
        <f t="shared" si="191"/>
        <v>0</v>
      </c>
      <c r="L639" s="76">
        <f t="shared" si="228"/>
        <v>54.9</v>
      </c>
      <c r="M639" s="76">
        <f t="shared" si="229"/>
        <v>70.02</v>
      </c>
      <c r="N639" s="76">
        <f t="shared" si="230"/>
        <v>70.02</v>
      </c>
      <c r="O639" s="76">
        <f t="shared" si="231"/>
        <v>0</v>
      </c>
      <c r="P639" s="90">
        <f t="shared" si="232"/>
        <v>1</v>
      </c>
      <c r="Q639" s="51"/>
      <c r="T639" s="53">
        <v>9.15</v>
      </c>
    </row>
    <row r="640" spans="1:20" s="56" customFormat="1" ht="12" x14ac:dyDescent="0.2">
      <c r="A640" s="73" t="s">
        <v>1051</v>
      </c>
      <c r="B640" s="80">
        <v>44565</v>
      </c>
      <c r="C640" s="74" t="s">
        <v>1053</v>
      </c>
      <c r="D640" s="73" t="s">
        <v>102</v>
      </c>
      <c r="E640" s="75">
        <v>6</v>
      </c>
      <c r="F640" s="75">
        <f t="shared" si="225"/>
        <v>9.15</v>
      </c>
      <c r="G640" s="75">
        <f t="shared" si="226"/>
        <v>11.67</v>
      </c>
      <c r="H640" s="76">
        <f t="shared" si="227"/>
        <v>70.02</v>
      </c>
      <c r="I640" s="75">
        <v>6</v>
      </c>
      <c r="J640" s="75">
        <f t="shared" si="233"/>
        <v>6</v>
      </c>
      <c r="K640" s="75">
        <f t="shared" ref="K640:K703" si="234">E640-J640</f>
        <v>0</v>
      </c>
      <c r="L640" s="76">
        <f t="shared" si="228"/>
        <v>54.9</v>
      </c>
      <c r="M640" s="76">
        <f t="shared" si="229"/>
        <v>70.02</v>
      </c>
      <c r="N640" s="76">
        <f t="shared" si="230"/>
        <v>70.02</v>
      </c>
      <c r="O640" s="76">
        <f t="shared" si="231"/>
        <v>0</v>
      </c>
      <c r="P640" s="90">
        <f t="shared" si="232"/>
        <v>1</v>
      </c>
      <c r="Q640" s="51"/>
      <c r="T640" s="53">
        <v>9.15</v>
      </c>
    </row>
    <row r="641" spans="1:20" s="56" customFormat="1" ht="12" x14ac:dyDescent="0.2">
      <c r="A641" s="73" t="s">
        <v>308</v>
      </c>
      <c r="B641" s="80">
        <v>44566</v>
      </c>
      <c r="C641" s="74" t="s">
        <v>1054</v>
      </c>
      <c r="D641" s="73" t="s">
        <v>102</v>
      </c>
      <c r="E641" s="75">
        <v>6</v>
      </c>
      <c r="F641" s="75">
        <f t="shared" si="225"/>
        <v>84.99</v>
      </c>
      <c r="G641" s="75">
        <f t="shared" si="226"/>
        <v>108.44</v>
      </c>
      <c r="H641" s="76">
        <f t="shared" si="227"/>
        <v>650.64</v>
      </c>
      <c r="I641" s="75">
        <v>6</v>
      </c>
      <c r="J641" s="75">
        <f t="shared" si="233"/>
        <v>6</v>
      </c>
      <c r="K641" s="75">
        <f t="shared" si="234"/>
        <v>0</v>
      </c>
      <c r="L641" s="76">
        <f t="shared" si="228"/>
        <v>509.94</v>
      </c>
      <c r="M641" s="76">
        <f t="shared" si="229"/>
        <v>650.64</v>
      </c>
      <c r="N641" s="76">
        <f t="shared" si="230"/>
        <v>650.64</v>
      </c>
      <c r="O641" s="76">
        <f t="shared" si="231"/>
        <v>0</v>
      </c>
      <c r="P641" s="90">
        <f t="shared" si="232"/>
        <v>1</v>
      </c>
      <c r="Q641" s="51"/>
      <c r="T641" s="53">
        <v>84.99</v>
      </c>
    </row>
    <row r="642" spans="1:20" s="56" customFormat="1" ht="12" x14ac:dyDescent="0.2">
      <c r="A642" s="73" t="s">
        <v>1051</v>
      </c>
      <c r="B642" s="80">
        <v>44567</v>
      </c>
      <c r="C642" s="74" t="s">
        <v>1055</v>
      </c>
      <c r="D642" s="73" t="s">
        <v>102</v>
      </c>
      <c r="E642" s="75">
        <v>2</v>
      </c>
      <c r="F642" s="75">
        <f t="shared" si="225"/>
        <v>9.15</v>
      </c>
      <c r="G642" s="75">
        <f t="shared" si="226"/>
        <v>11.67</v>
      </c>
      <c r="H642" s="76">
        <f t="shared" si="227"/>
        <v>23.34</v>
      </c>
      <c r="I642" s="75">
        <v>2</v>
      </c>
      <c r="J642" s="75">
        <f t="shared" si="233"/>
        <v>2</v>
      </c>
      <c r="K642" s="75">
        <f t="shared" si="234"/>
        <v>0</v>
      </c>
      <c r="L642" s="76">
        <f t="shared" si="228"/>
        <v>18.3</v>
      </c>
      <c r="M642" s="76">
        <f t="shared" si="229"/>
        <v>23.34</v>
      </c>
      <c r="N642" s="76">
        <f t="shared" si="230"/>
        <v>23.34</v>
      </c>
      <c r="O642" s="76">
        <f t="shared" si="231"/>
        <v>0</v>
      </c>
      <c r="P642" s="90">
        <f t="shared" si="232"/>
        <v>1</v>
      </c>
      <c r="Q642" s="51"/>
      <c r="T642" s="53">
        <v>9.15</v>
      </c>
    </row>
    <row r="643" spans="1:20" s="56" customFormat="1" ht="12" x14ac:dyDescent="0.2">
      <c r="A643" s="73" t="s">
        <v>1051</v>
      </c>
      <c r="B643" s="80">
        <v>44568</v>
      </c>
      <c r="C643" s="74" t="s">
        <v>1056</v>
      </c>
      <c r="D643" s="73" t="s">
        <v>102</v>
      </c>
      <c r="E643" s="75">
        <v>1</v>
      </c>
      <c r="F643" s="75">
        <f t="shared" si="225"/>
        <v>9.15</v>
      </c>
      <c r="G643" s="75">
        <f t="shared" si="226"/>
        <v>11.67</v>
      </c>
      <c r="H643" s="76">
        <f t="shared" si="227"/>
        <v>11.67</v>
      </c>
      <c r="I643" s="75">
        <v>1</v>
      </c>
      <c r="J643" s="75">
        <f t="shared" si="233"/>
        <v>1</v>
      </c>
      <c r="K643" s="75">
        <f t="shared" si="234"/>
        <v>0</v>
      </c>
      <c r="L643" s="76">
        <f t="shared" si="228"/>
        <v>9.15</v>
      </c>
      <c r="M643" s="76">
        <f t="shared" si="229"/>
        <v>11.67</v>
      </c>
      <c r="N643" s="76">
        <f t="shared" si="230"/>
        <v>11.67</v>
      </c>
      <c r="O643" s="76">
        <f t="shared" si="231"/>
        <v>0</v>
      </c>
      <c r="P643" s="90">
        <f t="shared" si="232"/>
        <v>1</v>
      </c>
      <c r="Q643" s="51"/>
      <c r="T643" s="53">
        <v>9.15</v>
      </c>
    </row>
    <row r="644" spans="1:20" s="56" customFormat="1" ht="24" x14ac:dyDescent="0.2">
      <c r="A644" s="73" t="s">
        <v>308</v>
      </c>
      <c r="B644" s="80">
        <v>44593</v>
      </c>
      <c r="C644" s="74" t="s">
        <v>1059</v>
      </c>
      <c r="D644" s="73" t="s">
        <v>81</v>
      </c>
      <c r="E644" s="75">
        <v>890</v>
      </c>
      <c r="F644" s="75">
        <f>ROUND(T644*$T$10,2)</f>
        <v>2.84</v>
      </c>
      <c r="G644" s="75">
        <f t="shared" si="226"/>
        <v>3.62</v>
      </c>
      <c r="H644" s="76">
        <f>ROUND(E644*G644,2)</f>
        <v>3221.8</v>
      </c>
      <c r="I644" s="75">
        <v>890</v>
      </c>
      <c r="J644" s="75">
        <f t="shared" si="233"/>
        <v>890</v>
      </c>
      <c r="K644" s="75">
        <f t="shared" si="234"/>
        <v>0</v>
      </c>
      <c r="L644" s="76">
        <f t="shared" si="228"/>
        <v>2527.6</v>
      </c>
      <c r="M644" s="76">
        <f t="shared" si="229"/>
        <v>3221.8</v>
      </c>
      <c r="N644" s="76">
        <f t="shared" si="230"/>
        <v>3221.8</v>
      </c>
      <c r="O644" s="76">
        <f t="shared" si="231"/>
        <v>0</v>
      </c>
      <c r="P644" s="90">
        <f t="shared" si="232"/>
        <v>1</v>
      </c>
      <c r="Q644" s="51"/>
      <c r="T644" s="53">
        <v>2.84</v>
      </c>
    </row>
    <row r="645" spans="1:20" s="56" customFormat="1" ht="12" x14ac:dyDescent="0.2">
      <c r="A645" s="94">
        <v>98268</v>
      </c>
      <c r="B645" s="80">
        <v>44594</v>
      </c>
      <c r="C645" s="74" t="s">
        <v>1060</v>
      </c>
      <c r="D645" s="73" t="s">
        <v>81</v>
      </c>
      <c r="E645" s="75">
        <v>8</v>
      </c>
      <c r="F645" s="75">
        <f>ROUND(T645*$T$10,2)</f>
        <v>10.48</v>
      </c>
      <c r="G645" s="75">
        <f t="shared" si="226"/>
        <v>13.37</v>
      </c>
      <c r="H645" s="76">
        <f>ROUND(E645*G645,2)</f>
        <v>106.96</v>
      </c>
      <c r="I645" s="75">
        <v>8</v>
      </c>
      <c r="J645" s="75">
        <f t="shared" si="233"/>
        <v>8</v>
      </c>
      <c r="K645" s="75">
        <f t="shared" si="234"/>
        <v>0</v>
      </c>
      <c r="L645" s="76">
        <f t="shared" si="228"/>
        <v>83.84</v>
      </c>
      <c r="M645" s="76">
        <f t="shared" si="229"/>
        <v>106.96</v>
      </c>
      <c r="N645" s="76">
        <f t="shared" si="230"/>
        <v>106.96</v>
      </c>
      <c r="O645" s="76">
        <f t="shared" si="231"/>
        <v>0</v>
      </c>
      <c r="P645" s="90">
        <f t="shared" si="232"/>
        <v>1</v>
      </c>
      <c r="Q645" s="51"/>
      <c r="T645" s="53">
        <v>10.48</v>
      </c>
    </row>
    <row r="646" spans="1:20" s="56" customFormat="1" ht="30.75" customHeight="1" x14ac:dyDescent="0.2">
      <c r="A646" s="73"/>
      <c r="B646" s="87"/>
      <c r="C646" s="74"/>
      <c r="D646" s="73"/>
      <c r="E646" s="75"/>
      <c r="F646" s="75"/>
      <c r="G646" s="77" t="s">
        <v>1326</v>
      </c>
      <c r="H646" s="78">
        <f>SUM(H637:H645)</f>
        <v>7848.1200000000008</v>
      </c>
      <c r="I646" s="75"/>
      <c r="J646" s="75">
        <v>0</v>
      </c>
      <c r="K646" s="75">
        <f t="shared" si="234"/>
        <v>0</v>
      </c>
      <c r="L646" s="76"/>
      <c r="M646" s="78">
        <f>SUM(M637:M645)</f>
        <v>7848.1200000000008</v>
      </c>
      <c r="N646" s="78">
        <f>SUM(N637:N645)</f>
        <v>7848.1200000000008</v>
      </c>
      <c r="O646" s="78">
        <f>SUM(O637:O645)</f>
        <v>0</v>
      </c>
      <c r="P646" s="91">
        <f>N646/H646</f>
        <v>1</v>
      </c>
      <c r="Q646" s="51"/>
      <c r="T646" s="53"/>
    </row>
    <row r="647" spans="1:20" s="56" customFormat="1" ht="12" x14ac:dyDescent="0.2">
      <c r="A647" s="72"/>
      <c r="B647" s="70" t="s">
        <v>1057</v>
      </c>
      <c r="C647" s="71" t="s">
        <v>1062</v>
      </c>
      <c r="D647" s="72"/>
      <c r="E647" s="72"/>
      <c r="F647" s="75"/>
      <c r="G647" s="72"/>
      <c r="H647" s="72"/>
      <c r="I647" s="72"/>
      <c r="J647" s="75"/>
      <c r="K647" s="75"/>
      <c r="L647" s="72"/>
      <c r="M647" s="72"/>
      <c r="N647" s="72"/>
      <c r="O647" s="72"/>
      <c r="P647" s="90"/>
      <c r="Q647" s="52"/>
      <c r="T647" s="52"/>
    </row>
    <row r="648" spans="1:20" s="56" customFormat="1" ht="24" x14ac:dyDescent="0.2">
      <c r="A648" s="94">
        <v>39606</v>
      </c>
      <c r="B648" s="80" t="s">
        <v>1328</v>
      </c>
      <c r="C648" s="74" t="s">
        <v>1063</v>
      </c>
      <c r="D648" s="73" t="s">
        <v>102</v>
      </c>
      <c r="E648" s="75">
        <v>41</v>
      </c>
      <c r="F648" s="75">
        <f>ROUND(T648*$T$10,2)</f>
        <v>24.43</v>
      </c>
      <c r="G648" s="75">
        <f>ROUND(F648*(1+$U$1),2)</f>
        <v>31.17</v>
      </c>
      <c r="H648" s="76">
        <f>ROUND(E648*G648,2)</f>
        <v>1277.97</v>
      </c>
      <c r="I648" s="75">
        <v>41</v>
      </c>
      <c r="J648" s="75">
        <f>I648</f>
        <v>41</v>
      </c>
      <c r="K648" s="75">
        <f t="shared" si="234"/>
        <v>0</v>
      </c>
      <c r="L648" s="76">
        <f>ROUND(E648*F648,2)</f>
        <v>1001.63</v>
      </c>
      <c r="M648" s="76">
        <f>I648*G648</f>
        <v>1277.97</v>
      </c>
      <c r="N648" s="76">
        <f>J648*G648</f>
        <v>1277.97</v>
      </c>
      <c r="O648" s="76">
        <f>H648-N648</f>
        <v>0</v>
      </c>
      <c r="P648" s="90">
        <f t="shared" ref="P648:P651" si="235">N648/H648</f>
        <v>1</v>
      </c>
      <c r="Q648" s="51"/>
      <c r="T648" s="53">
        <v>24.43</v>
      </c>
    </row>
    <row r="649" spans="1:20" s="56" customFormat="1" ht="24" x14ac:dyDescent="0.2">
      <c r="A649" s="94">
        <v>39604</v>
      </c>
      <c r="B649" s="80" t="s">
        <v>1329</v>
      </c>
      <c r="C649" s="74" t="s">
        <v>1064</v>
      </c>
      <c r="D649" s="73" t="s">
        <v>102</v>
      </c>
      <c r="E649" s="75">
        <v>48</v>
      </c>
      <c r="F649" s="75">
        <f>ROUND(T649*$T$10,2)</f>
        <v>24.43</v>
      </c>
      <c r="G649" s="75">
        <f>ROUND(F649*(1+$U$1),2)</f>
        <v>31.17</v>
      </c>
      <c r="H649" s="76">
        <f>ROUND(E649*G649,2)</f>
        <v>1496.16</v>
      </c>
      <c r="I649" s="75">
        <v>48</v>
      </c>
      <c r="J649" s="75">
        <f t="shared" ref="J649:J651" si="236">I649</f>
        <v>48</v>
      </c>
      <c r="K649" s="75">
        <f t="shared" si="234"/>
        <v>0</v>
      </c>
      <c r="L649" s="76">
        <f>ROUND(E649*F649,2)</f>
        <v>1172.6400000000001</v>
      </c>
      <c r="M649" s="76">
        <f>I649*G649</f>
        <v>1496.16</v>
      </c>
      <c r="N649" s="76">
        <f>J649*G649</f>
        <v>1496.16</v>
      </c>
      <c r="O649" s="76">
        <f>H649-N649</f>
        <v>0</v>
      </c>
      <c r="P649" s="90">
        <f t="shared" si="235"/>
        <v>1</v>
      </c>
      <c r="Q649" s="51"/>
      <c r="T649" s="53">
        <v>24.43</v>
      </c>
    </row>
    <row r="650" spans="1:20" s="56" customFormat="1" ht="24" x14ac:dyDescent="0.2">
      <c r="A650" s="73" t="s">
        <v>308</v>
      </c>
      <c r="B650" s="80" t="s">
        <v>1330</v>
      </c>
      <c r="C650" s="74" t="s">
        <v>1065</v>
      </c>
      <c r="D650" s="73" t="s">
        <v>102</v>
      </c>
      <c r="E650" s="75">
        <v>35</v>
      </c>
      <c r="F650" s="75">
        <f>ROUND(T650*$T$10,2)</f>
        <v>24.43</v>
      </c>
      <c r="G650" s="75">
        <f>ROUND(F650*(1+$U$1),2)</f>
        <v>31.17</v>
      </c>
      <c r="H650" s="76">
        <f>ROUND(E650*G650,2)</f>
        <v>1090.95</v>
      </c>
      <c r="I650" s="75">
        <v>35</v>
      </c>
      <c r="J650" s="75">
        <f t="shared" si="236"/>
        <v>35</v>
      </c>
      <c r="K650" s="75">
        <f t="shared" si="234"/>
        <v>0</v>
      </c>
      <c r="L650" s="76">
        <f>ROUND(E650*F650,2)</f>
        <v>855.05</v>
      </c>
      <c r="M650" s="76">
        <f>I650*G650</f>
        <v>1090.95</v>
      </c>
      <c r="N650" s="76">
        <f>J650*G650</f>
        <v>1090.95</v>
      </c>
      <c r="O650" s="76">
        <f>H650-N650</f>
        <v>0</v>
      </c>
      <c r="P650" s="90">
        <f t="shared" si="235"/>
        <v>1</v>
      </c>
      <c r="Q650" s="51"/>
      <c r="T650" s="53">
        <v>24.43</v>
      </c>
    </row>
    <row r="651" spans="1:20" s="56" customFormat="1" ht="12" x14ac:dyDescent="0.2">
      <c r="A651" s="73" t="s">
        <v>308</v>
      </c>
      <c r="B651" s="80" t="s">
        <v>1331</v>
      </c>
      <c r="C651" s="74" t="s">
        <v>1066</v>
      </c>
      <c r="D651" s="73" t="s">
        <v>102</v>
      </c>
      <c r="E651" s="75">
        <v>15</v>
      </c>
      <c r="F651" s="75">
        <f>ROUND(T651*$T$10,2)</f>
        <v>24.43</v>
      </c>
      <c r="G651" s="75">
        <f>ROUND(F651*(1+$U$1),2)</f>
        <v>31.17</v>
      </c>
      <c r="H651" s="76">
        <f>ROUND(E651*G651,2)</f>
        <v>467.55</v>
      </c>
      <c r="I651" s="75">
        <v>15</v>
      </c>
      <c r="J651" s="75">
        <f t="shared" si="236"/>
        <v>15</v>
      </c>
      <c r="K651" s="75">
        <f t="shared" si="234"/>
        <v>0</v>
      </c>
      <c r="L651" s="76">
        <f>ROUND(E651*F651,2)</f>
        <v>366.45</v>
      </c>
      <c r="M651" s="76">
        <f>I651*G651</f>
        <v>467.55</v>
      </c>
      <c r="N651" s="76">
        <f>J651*G651</f>
        <v>467.55</v>
      </c>
      <c r="O651" s="76">
        <f>H651-N651</f>
        <v>0</v>
      </c>
      <c r="P651" s="90">
        <f t="shared" si="235"/>
        <v>1</v>
      </c>
      <c r="Q651" s="51"/>
      <c r="T651" s="53">
        <v>24.43</v>
      </c>
    </row>
    <row r="652" spans="1:20" s="56" customFormat="1" ht="21.75" customHeight="1" x14ac:dyDescent="0.2">
      <c r="A652" s="73"/>
      <c r="B652" s="80"/>
      <c r="C652" s="74"/>
      <c r="D652" s="73"/>
      <c r="E652" s="75"/>
      <c r="F652" s="75"/>
      <c r="G652" s="77" t="s">
        <v>1327</v>
      </c>
      <c r="H652" s="78">
        <f>SUM(H648:H651)</f>
        <v>4332.63</v>
      </c>
      <c r="I652" s="75"/>
      <c r="J652" s="75">
        <v>0</v>
      </c>
      <c r="K652" s="75">
        <f t="shared" si="234"/>
        <v>0</v>
      </c>
      <c r="L652" s="76"/>
      <c r="M652" s="78">
        <f>SUM(M648:M651)</f>
        <v>4332.63</v>
      </c>
      <c r="N652" s="78">
        <f>SUM(N648:N651)</f>
        <v>4332.63</v>
      </c>
      <c r="O652" s="78">
        <f>SUM(O648:O651)</f>
        <v>0</v>
      </c>
      <c r="P652" s="91">
        <f>N652/H652</f>
        <v>1</v>
      </c>
      <c r="Q652" s="51"/>
      <c r="T652" s="53"/>
    </row>
    <row r="653" spans="1:20" s="56" customFormat="1" ht="12" x14ac:dyDescent="0.2">
      <c r="A653" s="72"/>
      <c r="B653" s="70" t="s">
        <v>1061</v>
      </c>
      <c r="C653" s="71" t="s">
        <v>977</v>
      </c>
      <c r="D653" s="72"/>
      <c r="E653" s="72"/>
      <c r="F653" s="75"/>
      <c r="G653" s="72"/>
      <c r="H653" s="72"/>
      <c r="I653" s="72"/>
      <c r="J653" s="75">
        <v>0</v>
      </c>
      <c r="K653" s="75">
        <f t="shared" si="234"/>
        <v>0</v>
      </c>
      <c r="L653" s="72"/>
      <c r="M653" s="72"/>
      <c r="N653" s="72"/>
      <c r="O653" s="72"/>
      <c r="P653" s="72"/>
      <c r="Q653" s="52"/>
      <c r="T653" s="52"/>
    </row>
    <row r="654" spans="1:20" s="56" customFormat="1" ht="12" x14ac:dyDescent="0.2">
      <c r="A654" s="73" t="s">
        <v>308</v>
      </c>
      <c r="B654" s="80" t="s">
        <v>1332</v>
      </c>
      <c r="C654" s="74" t="s">
        <v>1068</v>
      </c>
      <c r="D654" s="73" t="s">
        <v>102</v>
      </c>
      <c r="E654" s="75">
        <v>41</v>
      </c>
      <c r="F654" s="75">
        <f>ROUND(T654*$T$10,2)</f>
        <v>23.36</v>
      </c>
      <c r="G654" s="75">
        <f>ROUND(F654*(1+$U$1),2)</f>
        <v>29.81</v>
      </c>
      <c r="H654" s="76">
        <f>ROUND(E654*G654,2)</f>
        <v>1222.21</v>
      </c>
      <c r="I654" s="75">
        <v>41</v>
      </c>
      <c r="J654" s="75">
        <f t="shared" ref="J654:J655" si="237">I654</f>
        <v>41</v>
      </c>
      <c r="K654" s="75">
        <f t="shared" si="234"/>
        <v>0</v>
      </c>
      <c r="L654" s="76">
        <f>ROUND(E654*F654,2)</f>
        <v>957.76</v>
      </c>
      <c r="M654" s="76">
        <f>I654*G654</f>
        <v>1222.21</v>
      </c>
      <c r="N654" s="76">
        <f>J654*G654</f>
        <v>1222.21</v>
      </c>
      <c r="O654" s="76">
        <f>H654-N654</f>
        <v>0</v>
      </c>
      <c r="P654" s="90">
        <f t="shared" ref="P654:P655" si="238">N654/H654</f>
        <v>1</v>
      </c>
      <c r="Q654" s="51"/>
      <c r="T654" s="53">
        <v>23.36</v>
      </c>
    </row>
    <row r="655" spans="1:20" s="56" customFormat="1" ht="12" x14ac:dyDescent="0.2">
      <c r="A655" s="73" t="s">
        <v>308</v>
      </c>
      <c r="B655" s="80" t="s">
        <v>1333</v>
      </c>
      <c r="C655" s="74" t="s">
        <v>1069</v>
      </c>
      <c r="D655" s="73" t="s">
        <v>102</v>
      </c>
      <c r="E655" s="75">
        <v>2</v>
      </c>
      <c r="F655" s="75">
        <f>ROUND(T655*$T$10,2)</f>
        <v>3.6</v>
      </c>
      <c r="G655" s="75">
        <f>ROUND(F655*(1+$U$1),2)</f>
        <v>4.59</v>
      </c>
      <c r="H655" s="76">
        <f>ROUND(E655*G655,2)</f>
        <v>9.18</v>
      </c>
      <c r="I655" s="75">
        <v>2</v>
      </c>
      <c r="J655" s="75">
        <f t="shared" si="237"/>
        <v>2</v>
      </c>
      <c r="K655" s="75">
        <f t="shared" si="234"/>
        <v>0</v>
      </c>
      <c r="L655" s="76">
        <f>ROUND(E655*F655,2)</f>
        <v>7.2</v>
      </c>
      <c r="M655" s="76">
        <f>I655*G655</f>
        <v>9.18</v>
      </c>
      <c r="N655" s="76">
        <f>J655*G655</f>
        <v>9.18</v>
      </c>
      <c r="O655" s="76">
        <f>H655-N655</f>
        <v>0</v>
      </c>
      <c r="P655" s="90">
        <f t="shared" si="238"/>
        <v>1</v>
      </c>
      <c r="Q655" s="51"/>
      <c r="T655" s="53">
        <v>3.6</v>
      </c>
    </row>
    <row r="656" spans="1:20" s="56" customFormat="1" ht="30.75" customHeight="1" x14ac:dyDescent="0.2">
      <c r="A656" s="73"/>
      <c r="B656" s="80"/>
      <c r="C656" s="74"/>
      <c r="D656" s="73"/>
      <c r="E656" s="75"/>
      <c r="F656" s="75"/>
      <c r="G656" s="77" t="s">
        <v>1334</v>
      </c>
      <c r="H656" s="78">
        <f>SUM(H654:H655)</f>
        <v>1231.3900000000001</v>
      </c>
      <c r="I656" s="75"/>
      <c r="J656" s="75">
        <v>0</v>
      </c>
      <c r="K656" s="75">
        <f t="shared" si="234"/>
        <v>0</v>
      </c>
      <c r="L656" s="76"/>
      <c r="M656" s="78">
        <f>SUM(M654:M655)</f>
        <v>1231.3900000000001</v>
      </c>
      <c r="N656" s="78">
        <f>SUM(N654:N655)</f>
        <v>1231.3900000000001</v>
      </c>
      <c r="O656" s="78">
        <f>SUM(O654:O655)</f>
        <v>0</v>
      </c>
      <c r="P656" s="91">
        <f>N656/H656</f>
        <v>1</v>
      </c>
      <c r="Q656" s="51"/>
      <c r="T656" s="53"/>
    </row>
    <row r="657" spans="1:20" s="56" customFormat="1" ht="12" x14ac:dyDescent="0.2">
      <c r="A657" s="72"/>
      <c r="B657" s="70" t="s">
        <v>1067</v>
      </c>
      <c r="C657" s="71" t="s">
        <v>1071</v>
      </c>
      <c r="D657" s="72"/>
      <c r="E657" s="72"/>
      <c r="F657" s="75"/>
      <c r="G657" s="75"/>
      <c r="H657" s="72"/>
      <c r="I657" s="72"/>
      <c r="J657" s="75">
        <v>0</v>
      </c>
      <c r="K657" s="75">
        <f t="shared" si="234"/>
        <v>0</v>
      </c>
      <c r="L657" s="75"/>
      <c r="M657" s="72"/>
      <c r="N657" s="72"/>
      <c r="O657" s="72"/>
      <c r="P657" s="72"/>
      <c r="Q657" s="52"/>
      <c r="T657" s="52"/>
    </row>
    <row r="658" spans="1:20" s="56" customFormat="1" ht="24" x14ac:dyDescent="0.2">
      <c r="A658" s="94">
        <v>2559</v>
      </c>
      <c r="B658" s="80" t="s">
        <v>1335</v>
      </c>
      <c r="C658" s="74" t="s">
        <v>1072</v>
      </c>
      <c r="D658" s="73" t="s">
        <v>102</v>
      </c>
      <c r="E658" s="75">
        <v>2</v>
      </c>
      <c r="F658" s="75">
        <f t="shared" ref="F658:F665" si="239">ROUND(T658*$T$10,2)</f>
        <v>8.5</v>
      </c>
      <c r="G658" s="75">
        <f t="shared" ref="G658:G665" si="240">ROUND(F658*(1+$U$1),2)</f>
        <v>10.85</v>
      </c>
      <c r="H658" s="76">
        <f t="shared" ref="H658:H665" si="241">ROUND(E658*G658,2)</f>
        <v>21.7</v>
      </c>
      <c r="I658" s="75"/>
      <c r="J658" s="75">
        <v>2</v>
      </c>
      <c r="K658" s="75">
        <f t="shared" si="234"/>
        <v>0</v>
      </c>
      <c r="L658" s="76">
        <f t="shared" ref="L658:L665" si="242">ROUND(E658*F658,2)</f>
        <v>17</v>
      </c>
      <c r="M658" s="76">
        <f t="shared" ref="M658:M665" si="243">I658*G658</f>
        <v>0</v>
      </c>
      <c r="N658" s="76">
        <f t="shared" ref="N658:N665" si="244">J658*G658</f>
        <v>21.7</v>
      </c>
      <c r="O658" s="76">
        <f t="shared" ref="O658:O665" si="245">H658-N658</f>
        <v>0</v>
      </c>
      <c r="P658" s="90">
        <f t="shared" ref="P658:P665" si="246">N658/H658</f>
        <v>1</v>
      </c>
      <c r="Q658" s="51"/>
      <c r="T658" s="53">
        <v>8.5</v>
      </c>
    </row>
    <row r="659" spans="1:20" s="56" customFormat="1" ht="24" x14ac:dyDescent="0.2">
      <c r="A659" s="73" t="s">
        <v>78</v>
      </c>
      <c r="B659" s="80" t="s">
        <v>1336</v>
      </c>
      <c r="C659" s="74" t="s">
        <v>1073</v>
      </c>
      <c r="D659" s="73" t="s">
        <v>102</v>
      </c>
      <c r="E659" s="75">
        <v>1</v>
      </c>
      <c r="F659" s="75">
        <f t="shared" si="239"/>
        <v>344.17</v>
      </c>
      <c r="G659" s="75">
        <f t="shared" si="240"/>
        <v>439.13</v>
      </c>
      <c r="H659" s="76">
        <f t="shared" si="241"/>
        <v>439.13</v>
      </c>
      <c r="I659" s="75"/>
      <c r="J659" s="75">
        <v>1</v>
      </c>
      <c r="K659" s="75">
        <f t="shared" si="234"/>
        <v>0</v>
      </c>
      <c r="L659" s="76">
        <f t="shared" si="242"/>
        <v>344.17</v>
      </c>
      <c r="M659" s="76">
        <f t="shared" si="243"/>
        <v>0</v>
      </c>
      <c r="N659" s="76">
        <f t="shared" si="244"/>
        <v>439.13</v>
      </c>
      <c r="O659" s="76">
        <f t="shared" si="245"/>
        <v>0</v>
      </c>
      <c r="P659" s="90">
        <f t="shared" si="246"/>
        <v>1</v>
      </c>
      <c r="Q659" s="51"/>
      <c r="T659" s="53">
        <v>344.17</v>
      </c>
    </row>
    <row r="660" spans="1:20" s="56" customFormat="1" ht="48" x14ac:dyDescent="0.2">
      <c r="A660" s="73" t="s">
        <v>78</v>
      </c>
      <c r="B660" s="80" t="s">
        <v>1337</v>
      </c>
      <c r="C660" s="74" t="s">
        <v>1074</v>
      </c>
      <c r="D660" s="73" t="s">
        <v>102</v>
      </c>
      <c r="E660" s="75">
        <v>2</v>
      </c>
      <c r="F660" s="75">
        <f t="shared" si="239"/>
        <v>191.15</v>
      </c>
      <c r="G660" s="75">
        <f t="shared" si="240"/>
        <v>243.89</v>
      </c>
      <c r="H660" s="76">
        <f t="shared" si="241"/>
        <v>487.78</v>
      </c>
      <c r="I660" s="75"/>
      <c r="J660" s="75">
        <v>2</v>
      </c>
      <c r="K660" s="75">
        <f t="shared" si="234"/>
        <v>0</v>
      </c>
      <c r="L660" s="76">
        <f t="shared" si="242"/>
        <v>382.3</v>
      </c>
      <c r="M660" s="76">
        <f t="shared" si="243"/>
        <v>0</v>
      </c>
      <c r="N660" s="76">
        <f t="shared" si="244"/>
        <v>487.78</v>
      </c>
      <c r="O660" s="76">
        <f t="shared" si="245"/>
        <v>0</v>
      </c>
      <c r="P660" s="90">
        <f t="shared" si="246"/>
        <v>1</v>
      </c>
      <c r="Q660" s="51"/>
      <c r="T660" s="53">
        <v>191.15</v>
      </c>
    </row>
    <row r="661" spans="1:20" s="56" customFormat="1" ht="24" x14ac:dyDescent="0.2">
      <c r="A661" s="73" t="s">
        <v>308</v>
      </c>
      <c r="B661" s="80" t="s">
        <v>1343</v>
      </c>
      <c r="C661" s="74" t="s">
        <v>1075</v>
      </c>
      <c r="D661" s="73" t="s">
        <v>102</v>
      </c>
      <c r="E661" s="75">
        <v>1</v>
      </c>
      <c r="F661" s="75">
        <f t="shared" si="239"/>
        <v>7.52</v>
      </c>
      <c r="G661" s="75">
        <f t="shared" si="240"/>
        <v>9.59</v>
      </c>
      <c r="H661" s="76">
        <f t="shared" si="241"/>
        <v>9.59</v>
      </c>
      <c r="I661" s="75"/>
      <c r="J661" s="75">
        <v>1</v>
      </c>
      <c r="K661" s="75">
        <f t="shared" si="234"/>
        <v>0</v>
      </c>
      <c r="L661" s="76">
        <f t="shared" si="242"/>
        <v>7.52</v>
      </c>
      <c r="M661" s="76">
        <f t="shared" si="243"/>
        <v>0</v>
      </c>
      <c r="N661" s="76">
        <f t="shared" si="244"/>
        <v>9.59</v>
      </c>
      <c r="O661" s="76">
        <f t="shared" si="245"/>
        <v>0</v>
      </c>
      <c r="P661" s="90">
        <f t="shared" si="246"/>
        <v>1</v>
      </c>
      <c r="Q661" s="51"/>
      <c r="T661" s="53">
        <v>7.52</v>
      </c>
    </row>
    <row r="662" spans="1:20" s="56" customFormat="1" ht="12" x14ac:dyDescent="0.2">
      <c r="A662" s="73" t="s">
        <v>308</v>
      </c>
      <c r="B662" s="80" t="s">
        <v>1338</v>
      </c>
      <c r="C662" s="74" t="s">
        <v>1076</v>
      </c>
      <c r="D662" s="73" t="s">
        <v>102</v>
      </c>
      <c r="E662" s="75">
        <v>13</v>
      </c>
      <c r="F662" s="75">
        <f t="shared" si="239"/>
        <v>8.4</v>
      </c>
      <c r="G662" s="75">
        <f t="shared" si="240"/>
        <v>10.72</v>
      </c>
      <c r="H662" s="76">
        <f t="shared" si="241"/>
        <v>139.36000000000001</v>
      </c>
      <c r="I662" s="75">
        <v>13</v>
      </c>
      <c r="J662" s="75">
        <f>I662</f>
        <v>13</v>
      </c>
      <c r="K662" s="75">
        <f t="shared" si="234"/>
        <v>0</v>
      </c>
      <c r="L662" s="76">
        <f t="shared" si="242"/>
        <v>109.2</v>
      </c>
      <c r="M662" s="76">
        <f t="shared" si="243"/>
        <v>139.36000000000001</v>
      </c>
      <c r="N662" s="76">
        <f t="shared" si="244"/>
        <v>139.36000000000001</v>
      </c>
      <c r="O662" s="76">
        <f t="shared" si="245"/>
        <v>0</v>
      </c>
      <c r="P662" s="90">
        <f t="shared" si="246"/>
        <v>1</v>
      </c>
      <c r="Q662" s="51"/>
      <c r="T662" s="53">
        <v>8.4</v>
      </c>
    </row>
    <row r="663" spans="1:20" s="56" customFormat="1" ht="24" x14ac:dyDescent="0.2">
      <c r="A663" s="73" t="s">
        <v>308</v>
      </c>
      <c r="B663" s="80" t="s">
        <v>1339</v>
      </c>
      <c r="C663" s="74" t="s">
        <v>1077</v>
      </c>
      <c r="D663" s="73" t="s">
        <v>102</v>
      </c>
      <c r="E663" s="75">
        <v>1</v>
      </c>
      <c r="F663" s="75">
        <f t="shared" si="239"/>
        <v>2.4900000000000002</v>
      </c>
      <c r="G663" s="75">
        <f t="shared" si="240"/>
        <v>3.18</v>
      </c>
      <c r="H663" s="76">
        <f t="shared" si="241"/>
        <v>3.18</v>
      </c>
      <c r="I663" s="75">
        <v>1</v>
      </c>
      <c r="J663" s="75">
        <f t="shared" ref="J663:J665" si="247">I663</f>
        <v>1</v>
      </c>
      <c r="K663" s="75">
        <f t="shared" si="234"/>
        <v>0</v>
      </c>
      <c r="L663" s="76">
        <f t="shared" si="242"/>
        <v>2.4900000000000002</v>
      </c>
      <c r="M663" s="76">
        <f t="shared" si="243"/>
        <v>3.18</v>
      </c>
      <c r="N663" s="76">
        <f t="shared" si="244"/>
        <v>3.18</v>
      </c>
      <c r="O663" s="76">
        <f t="shared" si="245"/>
        <v>0</v>
      </c>
      <c r="P663" s="90">
        <f t="shared" si="246"/>
        <v>1</v>
      </c>
      <c r="Q663" s="51"/>
      <c r="T663" s="53">
        <v>2.4900000000000002</v>
      </c>
    </row>
    <row r="664" spans="1:20" s="56" customFormat="1" ht="24" x14ac:dyDescent="0.2">
      <c r="A664" s="73" t="s">
        <v>308</v>
      </c>
      <c r="B664" s="80" t="s">
        <v>1340</v>
      </c>
      <c r="C664" s="74" t="s">
        <v>1078</v>
      </c>
      <c r="D664" s="73" t="s">
        <v>102</v>
      </c>
      <c r="E664" s="75">
        <v>1</v>
      </c>
      <c r="F664" s="75">
        <f t="shared" si="239"/>
        <v>2.46</v>
      </c>
      <c r="G664" s="75">
        <f t="shared" si="240"/>
        <v>3.14</v>
      </c>
      <c r="H664" s="76">
        <f t="shared" si="241"/>
        <v>3.14</v>
      </c>
      <c r="I664" s="75">
        <v>1</v>
      </c>
      <c r="J664" s="75">
        <f t="shared" si="247"/>
        <v>1</v>
      </c>
      <c r="K664" s="75">
        <f t="shared" si="234"/>
        <v>0</v>
      </c>
      <c r="L664" s="76">
        <f t="shared" si="242"/>
        <v>2.46</v>
      </c>
      <c r="M664" s="76">
        <f t="shared" si="243"/>
        <v>3.14</v>
      </c>
      <c r="N664" s="76">
        <f t="shared" si="244"/>
        <v>3.14</v>
      </c>
      <c r="O664" s="76">
        <f t="shared" si="245"/>
        <v>0</v>
      </c>
      <c r="P664" s="90">
        <f t="shared" si="246"/>
        <v>1</v>
      </c>
      <c r="Q664" s="51"/>
      <c r="T664" s="53">
        <v>2.46</v>
      </c>
    </row>
    <row r="665" spans="1:20" s="56" customFormat="1" ht="12" x14ac:dyDescent="0.2">
      <c r="A665" s="73" t="s">
        <v>308</v>
      </c>
      <c r="B665" s="80" t="s">
        <v>1341</v>
      </c>
      <c r="C665" s="74" t="s">
        <v>1079</v>
      </c>
      <c r="D665" s="73" t="s">
        <v>102</v>
      </c>
      <c r="E665" s="75">
        <v>14</v>
      </c>
      <c r="F665" s="75">
        <f t="shared" si="239"/>
        <v>3.26</v>
      </c>
      <c r="G665" s="75">
        <f t="shared" si="240"/>
        <v>4.16</v>
      </c>
      <c r="H665" s="76">
        <f t="shared" si="241"/>
        <v>58.24</v>
      </c>
      <c r="I665" s="75">
        <v>14</v>
      </c>
      <c r="J665" s="75">
        <f t="shared" si="247"/>
        <v>14</v>
      </c>
      <c r="K665" s="75">
        <f t="shared" si="234"/>
        <v>0</v>
      </c>
      <c r="L665" s="76">
        <f t="shared" si="242"/>
        <v>45.64</v>
      </c>
      <c r="M665" s="76">
        <f t="shared" si="243"/>
        <v>58.24</v>
      </c>
      <c r="N665" s="76">
        <f t="shared" si="244"/>
        <v>58.24</v>
      </c>
      <c r="O665" s="76">
        <f t="shared" si="245"/>
        <v>0</v>
      </c>
      <c r="P665" s="90">
        <f t="shared" si="246"/>
        <v>1</v>
      </c>
      <c r="Q665" s="51"/>
      <c r="T665" s="53">
        <v>3.26</v>
      </c>
    </row>
    <row r="666" spans="1:20" s="56" customFormat="1" ht="30.75" customHeight="1" x14ac:dyDescent="0.2">
      <c r="A666" s="73"/>
      <c r="B666" s="87"/>
      <c r="C666" s="74"/>
      <c r="D666" s="73"/>
      <c r="E666" s="75"/>
      <c r="F666" s="75"/>
      <c r="G666" s="77" t="s">
        <v>1342</v>
      </c>
      <c r="H666" s="78">
        <f>SUM(H658:H665)</f>
        <v>1162.1200000000001</v>
      </c>
      <c r="I666" s="75"/>
      <c r="J666" s="75">
        <v>0</v>
      </c>
      <c r="K666" s="75">
        <f t="shared" si="234"/>
        <v>0</v>
      </c>
      <c r="L666" s="76"/>
      <c r="M666" s="78">
        <f>SUM(M658:M665)</f>
        <v>203.92000000000002</v>
      </c>
      <c r="N666" s="78">
        <f>SUM(N658:N665)</f>
        <v>1162.1200000000001</v>
      </c>
      <c r="O666" s="78">
        <f>SUM(O658:O665)</f>
        <v>0</v>
      </c>
      <c r="P666" s="91">
        <f>N666/H666</f>
        <v>1</v>
      </c>
      <c r="Q666" s="51"/>
      <c r="T666" s="53"/>
    </row>
    <row r="667" spans="1:20" s="56" customFormat="1" ht="12" x14ac:dyDescent="0.2">
      <c r="A667" s="72"/>
      <c r="B667" s="70" t="s">
        <v>1070</v>
      </c>
      <c r="C667" s="71" t="s">
        <v>856</v>
      </c>
      <c r="D667" s="72"/>
      <c r="E667" s="72"/>
      <c r="F667" s="75"/>
      <c r="G667" s="72"/>
      <c r="H667" s="72"/>
      <c r="I667" s="72"/>
      <c r="J667" s="75">
        <v>0</v>
      </c>
      <c r="K667" s="75">
        <f t="shared" si="234"/>
        <v>0</v>
      </c>
      <c r="L667" s="72"/>
      <c r="M667" s="72"/>
      <c r="N667" s="72"/>
      <c r="O667" s="72"/>
      <c r="P667" s="72"/>
      <c r="Q667" s="52"/>
      <c r="T667" s="52"/>
    </row>
    <row r="668" spans="1:20" s="56" customFormat="1" ht="12" x14ac:dyDescent="0.2">
      <c r="A668" s="72"/>
      <c r="B668" s="69"/>
      <c r="C668" s="74" t="s">
        <v>1081</v>
      </c>
      <c r="D668" s="72"/>
      <c r="E668" s="72"/>
      <c r="F668" s="75"/>
      <c r="G668" s="72"/>
      <c r="H668" s="72"/>
      <c r="I668" s="72"/>
      <c r="J668" s="75">
        <v>0</v>
      </c>
      <c r="K668" s="75">
        <f t="shared" si="234"/>
        <v>0</v>
      </c>
      <c r="L668" s="72"/>
      <c r="M668" s="72"/>
      <c r="N668" s="72"/>
      <c r="O668" s="72"/>
      <c r="P668" s="72"/>
      <c r="Q668" s="52"/>
      <c r="T668" s="52"/>
    </row>
    <row r="669" spans="1:20" s="56" customFormat="1" ht="12" x14ac:dyDescent="0.2">
      <c r="A669" s="73" t="s">
        <v>308</v>
      </c>
      <c r="B669" s="80" t="s">
        <v>1344</v>
      </c>
      <c r="C669" s="74" t="s">
        <v>1082</v>
      </c>
      <c r="D669" s="73" t="s">
        <v>81</v>
      </c>
      <c r="E669" s="75">
        <v>1</v>
      </c>
      <c r="F669" s="75">
        <f>ROUND(T669*$T$10,2)</f>
        <v>9.9499999999999993</v>
      </c>
      <c r="G669" s="75">
        <f>ROUND(F669*(1+$U$1),2)</f>
        <v>12.7</v>
      </c>
      <c r="H669" s="76">
        <f>ROUND(E669*G669,2)</f>
        <v>12.7</v>
      </c>
      <c r="I669" s="75"/>
      <c r="J669" s="75">
        <v>1</v>
      </c>
      <c r="K669" s="75">
        <f t="shared" si="234"/>
        <v>0</v>
      </c>
      <c r="L669" s="76">
        <f>ROUND(E669*F669,2)</f>
        <v>9.9499999999999993</v>
      </c>
      <c r="M669" s="76">
        <f>I669*G669</f>
        <v>0</v>
      </c>
      <c r="N669" s="76">
        <f>J669*G669</f>
        <v>12.7</v>
      </c>
      <c r="O669" s="76">
        <f>H669-N669</f>
        <v>0</v>
      </c>
      <c r="P669" s="90">
        <f t="shared" ref="P669:P683" si="248">N669/H669</f>
        <v>1</v>
      </c>
      <c r="Q669" s="51"/>
      <c r="T669" s="53">
        <v>9.9499999999999993</v>
      </c>
    </row>
    <row r="670" spans="1:20" s="56" customFormat="1" ht="12" x14ac:dyDescent="0.2">
      <c r="A670" s="73" t="s">
        <v>308</v>
      </c>
      <c r="B670" s="80" t="s">
        <v>1345</v>
      </c>
      <c r="C670" s="74" t="s">
        <v>1083</v>
      </c>
      <c r="D670" s="73" t="s">
        <v>81</v>
      </c>
      <c r="E670" s="75">
        <v>70</v>
      </c>
      <c r="F670" s="75">
        <f>ROUND(T670*$T$10,2)</f>
        <v>5.24</v>
      </c>
      <c r="G670" s="75">
        <f>ROUND(F670*(1+$U$1),2)</f>
        <v>6.69</v>
      </c>
      <c r="H670" s="76">
        <f>ROUND(E670*G670,2)</f>
        <v>468.3</v>
      </c>
      <c r="I670" s="75"/>
      <c r="J670" s="75">
        <v>70</v>
      </c>
      <c r="K670" s="75">
        <f t="shared" si="234"/>
        <v>0</v>
      </c>
      <c r="L670" s="76">
        <f>ROUND(E670*F670,2)</f>
        <v>366.8</v>
      </c>
      <c r="M670" s="76">
        <f>I670*G670</f>
        <v>0</v>
      </c>
      <c r="N670" s="76">
        <f>J670*G670</f>
        <v>468.3</v>
      </c>
      <c r="O670" s="76">
        <f>H670-N670</f>
        <v>0</v>
      </c>
      <c r="P670" s="90">
        <f t="shared" si="248"/>
        <v>1</v>
      </c>
      <c r="Q670" s="51"/>
      <c r="T670" s="53">
        <v>5.24</v>
      </c>
    </row>
    <row r="671" spans="1:20" s="56" customFormat="1" ht="12" x14ac:dyDescent="0.2">
      <c r="A671" s="72"/>
      <c r="B671" s="69"/>
      <c r="C671" s="74" t="s">
        <v>1084</v>
      </c>
      <c r="D671" s="72"/>
      <c r="E671" s="72"/>
      <c r="F671" s="75"/>
      <c r="G671" s="75"/>
      <c r="H671" s="72"/>
      <c r="I671" s="72"/>
      <c r="J671" s="75"/>
      <c r="K671" s="75"/>
      <c r="L671" s="75"/>
      <c r="M671" s="72"/>
      <c r="N671" s="72"/>
      <c r="O671" s="72"/>
      <c r="P671" s="90"/>
      <c r="Q671" s="52"/>
      <c r="T671" s="52"/>
    </row>
    <row r="672" spans="1:20" s="56" customFormat="1" ht="12" x14ac:dyDescent="0.2">
      <c r="A672" s="73" t="s">
        <v>308</v>
      </c>
      <c r="B672" s="80" t="s">
        <v>1346</v>
      </c>
      <c r="C672" s="74" t="s">
        <v>1083</v>
      </c>
      <c r="D672" s="73" t="s">
        <v>81</v>
      </c>
      <c r="E672" s="75">
        <v>10</v>
      </c>
      <c r="F672" s="75">
        <f>ROUND(T672*$T$10,2)</f>
        <v>12.83</v>
      </c>
      <c r="G672" s="75">
        <f>ROUND(F672*(1+$U$1),2)</f>
        <v>16.37</v>
      </c>
      <c r="H672" s="76">
        <f>ROUND(E672*G672,2)</f>
        <v>163.69999999999999</v>
      </c>
      <c r="I672" s="75"/>
      <c r="J672" s="75">
        <v>10</v>
      </c>
      <c r="K672" s="75">
        <f t="shared" si="234"/>
        <v>0</v>
      </c>
      <c r="L672" s="76">
        <f>ROUND(E672*F672,2)</f>
        <v>128.30000000000001</v>
      </c>
      <c r="M672" s="76">
        <f t="shared" ref="M672:M683" si="249">I672*G672</f>
        <v>0</v>
      </c>
      <c r="N672" s="76">
        <f t="shared" ref="N672:N683" si="250">J672*G672</f>
        <v>163.70000000000002</v>
      </c>
      <c r="O672" s="76">
        <f t="shared" ref="O672:O683" si="251">H672-N672</f>
        <v>0</v>
      </c>
      <c r="P672" s="90">
        <f t="shared" si="248"/>
        <v>1.0000000000000002</v>
      </c>
      <c r="Q672" s="51"/>
      <c r="T672" s="53">
        <v>12.83</v>
      </c>
    </row>
    <row r="673" spans="1:20" s="56" customFormat="1" ht="24" x14ac:dyDescent="0.2">
      <c r="A673" s="72"/>
      <c r="B673" s="69"/>
      <c r="C673" s="74" t="s">
        <v>1085</v>
      </c>
      <c r="D673" s="72"/>
      <c r="E673" s="72"/>
      <c r="F673" s="75"/>
      <c r="G673" s="75"/>
      <c r="H673" s="72"/>
      <c r="I673" s="72"/>
      <c r="J673" s="75"/>
      <c r="K673" s="75"/>
      <c r="L673" s="75"/>
      <c r="M673" s="76"/>
      <c r="N673" s="76"/>
      <c r="O673" s="76"/>
      <c r="P673" s="90"/>
      <c r="Q673" s="52"/>
      <c r="T673" s="52"/>
    </row>
    <row r="674" spans="1:20" s="56" customFormat="1" ht="12" x14ac:dyDescent="0.2">
      <c r="A674" s="73" t="s">
        <v>308</v>
      </c>
      <c r="B674" s="80" t="s">
        <v>1347</v>
      </c>
      <c r="C674" s="74" t="s">
        <v>1083</v>
      </c>
      <c r="D674" s="73" t="s">
        <v>81</v>
      </c>
      <c r="E674" s="75">
        <v>45</v>
      </c>
      <c r="F674" s="75">
        <f>ROUND(T674*$T$10,2)</f>
        <v>12.83</v>
      </c>
      <c r="G674" s="75">
        <f>ROUND(F674*(1+$U$1),2)</f>
        <v>16.37</v>
      </c>
      <c r="H674" s="76">
        <f>ROUND(E674*G674,2)</f>
        <v>736.65</v>
      </c>
      <c r="I674" s="75"/>
      <c r="J674" s="75">
        <v>45</v>
      </c>
      <c r="K674" s="75">
        <f t="shared" si="234"/>
        <v>0</v>
      </c>
      <c r="L674" s="76">
        <f>ROUND(E674*F674,2)</f>
        <v>577.35</v>
      </c>
      <c r="M674" s="76">
        <f t="shared" si="249"/>
        <v>0</v>
      </c>
      <c r="N674" s="76">
        <f t="shared" si="250"/>
        <v>736.65000000000009</v>
      </c>
      <c r="O674" s="76">
        <f t="shared" si="251"/>
        <v>0</v>
      </c>
      <c r="P674" s="90">
        <f t="shared" si="248"/>
        <v>1.0000000000000002</v>
      </c>
      <c r="Q674" s="51"/>
      <c r="T674" s="53">
        <v>12.83</v>
      </c>
    </row>
    <row r="675" spans="1:20" s="56" customFormat="1" ht="12" x14ac:dyDescent="0.2">
      <c r="A675" s="72"/>
      <c r="B675" s="69"/>
      <c r="C675" s="74" t="s">
        <v>1086</v>
      </c>
      <c r="D675" s="72"/>
      <c r="E675" s="72"/>
      <c r="F675" s="75"/>
      <c r="G675" s="75"/>
      <c r="H675" s="72"/>
      <c r="I675" s="72"/>
      <c r="J675" s="75"/>
      <c r="K675" s="75"/>
      <c r="L675" s="75"/>
      <c r="M675" s="76"/>
      <c r="N675" s="76"/>
      <c r="O675" s="76"/>
      <c r="P675" s="90"/>
      <c r="Q675" s="52"/>
      <c r="T675" s="52"/>
    </row>
    <row r="676" spans="1:20" s="56" customFormat="1" ht="12" x14ac:dyDescent="0.2">
      <c r="A676" s="73" t="s">
        <v>308</v>
      </c>
      <c r="B676" s="80" t="s">
        <v>1348</v>
      </c>
      <c r="C676" s="74" t="s">
        <v>1087</v>
      </c>
      <c r="D676" s="73" t="s">
        <v>81</v>
      </c>
      <c r="E676" s="75">
        <v>10</v>
      </c>
      <c r="F676" s="75">
        <f>ROUND(T676*$T$10,2)</f>
        <v>6.65</v>
      </c>
      <c r="G676" s="75">
        <f>ROUND(F676*(1+$U$1),2)</f>
        <v>8.48</v>
      </c>
      <c r="H676" s="76">
        <f>ROUND(E676*G676,2)</f>
        <v>84.8</v>
      </c>
      <c r="I676" s="75"/>
      <c r="J676" s="75">
        <v>10</v>
      </c>
      <c r="K676" s="75">
        <f t="shared" si="234"/>
        <v>0</v>
      </c>
      <c r="L676" s="76">
        <f>ROUND(E676*F676,2)</f>
        <v>66.5</v>
      </c>
      <c r="M676" s="76">
        <f t="shared" si="249"/>
        <v>0</v>
      </c>
      <c r="N676" s="76">
        <f t="shared" si="250"/>
        <v>84.800000000000011</v>
      </c>
      <c r="O676" s="76">
        <f t="shared" si="251"/>
        <v>0</v>
      </c>
      <c r="P676" s="90">
        <f t="shared" si="248"/>
        <v>1.0000000000000002</v>
      </c>
      <c r="Q676" s="51"/>
      <c r="T676" s="53">
        <v>6.65</v>
      </c>
    </row>
    <row r="677" spans="1:20" s="56" customFormat="1" ht="24" x14ac:dyDescent="0.2">
      <c r="A677" s="72"/>
      <c r="B677" s="69"/>
      <c r="C677" s="74" t="s">
        <v>1088</v>
      </c>
      <c r="D677" s="72"/>
      <c r="E677" s="72"/>
      <c r="F677" s="75"/>
      <c r="G677" s="75"/>
      <c r="H677" s="72"/>
      <c r="I677" s="72"/>
      <c r="J677" s="75"/>
      <c r="K677" s="75"/>
      <c r="L677" s="75"/>
      <c r="M677" s="76"/>
      <c r="N677" s="76"/>
      <c r="O677" s="76"/>
      <c r="P677" s="90"/>
      <c r="Q677" s="52"/>
      <c r="T677" s="52"/>
    </row>
    <row r="678" spans="1:20" s="56" customFormat="1" ht="12" x14ac:dyDescent="0.2">
      <c r="A678" s="73" t="s">
        <v>308</v>
      </c>
      <c r="B678" s="80" t="s">
        <v>1349</v>
      </c>
      <c r="C678" s="74" t="s">
        <v>1083</v>
      </c>
      <c r="D678" s="73" t="s">
        <v>102</v>
      </c>
      <c r="E678" s="75">
        <v>75</v>
      </c>
      <c r="F678" s="75">
        <f t="shared" ref="F678:F683" si="252">ROUND(T678*$T$10,2)</f>
        <v>0.7</v>
      </c>
      <c r="G678" s="75">
        <f t="shared" ref="G678:G683" si="253">ROUND(F678*(1+$U$1),2)</f>
        <v>0.89</v>
      </c>
      <c r="H678" s="76">
        <f t="shared" ref="H678:H683" si="254">ROUND(E678*G678,2)</f>
        <v>66.75</v>
      </c>
      <c r="I678" s="75"/>
      <c r="J678" s="75">
        <v>75</v>
      </c>
      <c r="K678" s="75">
        <f t="shared" si="234"/>
        <v>0</v>
      </c>
      <c r="L678" s="76">
        <f t="shared" ref="L678:L683" si="255">ROUND(E678*F678,2)</f>
        <v>52.5</v>
      </c>
      <c r="M678" s="76">
        <f t="shared" si="249"/>
        <v>0</v>
      </c>
      <c r="N678" s="76">
        <f t="shared" si="250"/>
        <v>66.75</v>
      </c>
      <c r="O678" s="76">
        <f t="shared" si="251"/>
        <v>0</v>
      </c>
      <c r="P678" s="90">
        <f t="shared" si="248"/>
        <v>1</v>
      </c>
      <c r="Q678" s="51"/>
      <c r="T678" s="53">
        <v>0.7</v>
      </c>
    </row>
    <row r="679" spans="1:20" s="56" customFormat="1" ht="12" x14ac:dyDescent="0.2">
      <c r="A679" s="73" t="s">
        <v>308</v>
      </c>
      <c r="B679" s="80" t="s">
        <v>1350</v>
      </c>
      <c r="C679" s="74" t="s">
        <v>1089</v>
      </c>
      <c r="D679" s="73" t="s">
        <v>102</v>
      </c>
      <c r="E679" s="75">
        <v>75</v>
      </c>
      <c r="F679" s="75">
        <f t="shared" si="252"/>
        <v>6.95</v>
      </c>
      <c r="G679" s="75">
        <f t="shared" si="253"/>
        <v>8.8699999999999992</v>
      </c>
      <c r="H679" s="76">
        <f t="shared" si="254"/>
        <v>665.25</v>
      </c>
      <c r="I679" s="75"/>
      <c r="J679" s="75">
        <v>75</v>
      </c>
      <c r="K679" s="75">
        <f t="shared" si="234"/>
        <v>0</v>
      </c>
      <c r="L679" s="76">
        <f t="shared" si="255"/>
        <v>521.25</v>
      </c>
      <c r="M679" s="76">
        <f t="shared" si="249"/>
        <v>0</v>
      </c>
      <c r="N679" s="76">
        <f t="shared" si="250"/>
        <v>665.24999999999989</v>
      </c>
      <c r="O679" s="76">
        <f t="shared" si="251"/>
        <v>0</v>
      </c>
      <c r="P679" s="90">
        <f t="shared" si="248"/>
        <v>0.99999999999999978</v>
      </c>
      <c r="Q679" s="51"/>
      <c r="T679" s="53">
        <v>6.95</v>
      </c>
    </row>
    <row r="680" spans="1:20" s="56" customFormat="1" ht="12" x14ac:dyDescent="0.2">
      <c r="A680" s="94">
        <v>4376</v>
      </c>
      <c r="B680" s="80" t="s">
        <v>1351</v>
      </c>
      <c r="C680" s="74" t="s">
        <v>1090</v>
      </c>
      <c r="D680" s="73" t="s">
        <v>102</v>
      </c>
      <c r="E680" s="75">
        <v>75</v>
      </c>
      <c r="F680" s="75">
        <f t="shared" si="252"/>
        <v>0.13</v>
      </c>
      <c r="G680" s="75">
        <f t="shared" si="253"/>
        <v>0.17</v>
      </c>
      <c r="H680" s="76">
        <f t="shared" si="254"/>
        <v>12.75</v>
      </c>
      <c r="I680" s="75"/>
      <c r="J680" s="75">
        <v>75</v>
      </c>
      <c r="K680" s="75">
        <f t="shared" si="234"/>
        <v>0</v>
      </c>
      <c r="L680" s="76">
        <f t="shared" si="255"/>
        <v>9.75</v>
      </c>
      <c r="M680" s="76">
        <f t="shared" si="249"/>
        <v>0</v>
      </c>
      <c r="N680" s="76">
        <f t="shared" si="250"/>
        <v>12.750000000000002</v>
      </c>
      <c r="O680" s="76">
        <f t="shared" si="251"/>
        <v>0</v>
      </c>
      <c r="P680" s="90">
        <f t="shared" si="248"/>
        <v>1.0000000000000002</v>
      </c>
      <c r="Q680" s="51"/>
      <c r="T680" s="53">
        <v>0.13</v>
      </c>
    </row>
    <row r="681" spans="1:20" s="56" customFormat="1" ht="24" x14ac:dyDescent="0.2">
      <c r="A681" s="73" t="s">
        <v>308</v>
      </c>
      <c r="B681" s="80" t="s">
        <v>1352</v>
      </c>
      <c r="C681" s="74" t="s">
        <v>1091</v>
      </c>
      <c r="D681" s="73" t="s">
        <v>102</v>
      </c>
      <c r="E681" s="75">
        <v>75</v>
      </c>
      <c r="F681" s="75">
        <f t="shared" si="252"/>
        <v>0.32</v>
      </c>
      <c r="G681" s="75">
        <f t="shared" si="253"/>
        <v>0.41</v>
      </c>
      <c r="H681" s="76">
        <f t="shared" si="254"/>
        <v>30.75</v>
      </c>
      <c r="I681" s="75"/>
      <c r="J681" s="75">
        <v>75</v>
      </c>
      <c r="K681" s="75">
        <f t="shared" si="234"/>
        <v>0</v>
      </c>
      <c r="L681" s="76">
        <f t="shared" si="255"/>
        <v>24</v>
      </c>
      <c r="M681" s="76">
        <f t="shared" si="249"/>
        <v>0</v>
      </c>
      <c r="N681" s="76">
        <f t="shared" si="250"/>
        <v>30.749999999999996</v>
      </c>
      <c r="O681" s="76">
        <f t="shared" si="251"/>
        <v>0</v>
      </c>
      <c r="P681" s="90">
        <f t="shared" si="248"/>
        <v>0.99999999999999989</v>
      </c>
      <c r="Q681" s="51"/>
      <c r="T681" s="53">
        <v>0.32</v>
      </c>
    </row>
    <row r="682" spans="1:20" s="56" customFormat="1" ht="12" x14ac:dyDescent="0.2">
      <c r="A682" s="73" t="s">
        <v>308</v>
      </c>
      <c r="B682" s="80" t="s">
        <v>1353</v>
      </c>
      <c r="C682" s="74" t="s">
        <v>1092</v>
      </c>
      <c r="D682" s="73" t="s">
        <v>102</v>
      </c>
      <c r="E682" s="75">
        <v>75</v>
      </c>
      <c r="F682" s="75">
        <f t="shared" si="252"/>
        <v>0.12</v>
      </c>
      <c r="G682" s="75">
        <f t="shared" si="253"/>
        <v>0.15</v>
      </c>
      <c r="H682" s="76">
        <f t="shared" si="254"/>
        <v>11.25</v>
      </c>
      <c r="I682" s="75"/>
      <c r="J682" s="75">
        <v>75</v>
      </c>
      <c r="K682" s="75">
        <f t="shared" si="234"/>
        <v>0</v>
      </c>
      <c r="L682" s="76">
        <f t="shared" si="255"/>
        <v>9</v>
      </c>
      <c r="M682" s="76">
        <f t="shared" si="249"/>
        <v>0</v>
      </c>
      <c r="N682" s="76">
        <f t="shared" si="250"/>
        <v>11.25</v>
      </c>
      <c r="O682" s="76">
        <f t="shared" si="251"/>
        <v>0</v>
      </c>
      <c r="P682" s="90">
        <f t="shared" si="248"/>
        <v>1</v>
      </c>
      <c r="Q682" s="51"/>
      <c r="T682" s="53">
        <v>0.12</v>
      </c>
    </row>
    <row r="683" spans="1:20" s="56" customFormat="1" ht="12" x14ac:dyDescent="0.2">
      <c r="A683" s="73" t="s">
        <v>308</v>
      </c>
      <c r="B683" s="80" t="s">
        <v>1354</v>
      </c>
      <c r="C683" s="74" t="s">
        <v>1093</v>
      </c>
      <c r="D683" s="73" t="s">
        <v>102</v>
      </c>
      <c r="E683" s="75">
        <v>100</v>
      </c>
      <c r="F683" s="75">
        <f t="shared" si="252"/>
        <v>0.09</v>
      </c>
      <c r="G683" s="75">
        <f t="shared" si="253"/>
        <v>0.11</v>
      </c>
      <c r="H683" s="76">
        <f t="shared" si="254"/>
        <v>11</v>
      </c>
      <c r="I683" s="75"/>
      <c r="J683" s="75">
        <v>100</v>
      </c>
      <c r="K683" s="75">
        <f t="shared" si="234"/>
        <v>0</v>
      </c>
      <c r="L683" s="76">
        <f t="shared" si="255"/>
        <v>9</v>
      </c>
      <c r="M683" s="76">
        <f t="shared" si="249"/>
        <v>0</v>
      </c>
      <c r="N683" s="76">
        <f t="shared" si="250"/>
        <v>11</v>
      </c>
      <c r="O683" s="76">
        <f t="shared" si="251"/>
        <v>0</v>
      </c>
      <c r="P683" s="90">
        <f t="shared" si="248"/>
        <v>1</v>
      </c>
      <c r="Q683" s="51"/>
      <c r="T683" s="53">
        <v>0.09</v>
      </c>
    </row>
    <row r="684" spans="1:20" s="56" customFormat="1" ht="30.75" customHeight="1" x14ac:dyDescent="0.2">
      <c r="A684" s="73"/>
      <c r="B684" s="87"/>
      <c r="C684" s="74"/>
      <c r="D684" s="73"/>
      <c r="E684" s="75"/>
      <c r="F684" s="75"/>
      <c r="G684" s="77" t="s">
        <v>1355</v>
      </c>
      <c r="H684" s="78">
        <f>SUM(H669:H683)</f>
        <v>2263.8999999999996</v>
      </c>
      <c r="I684" s="75"/>
      <c r="J684" s="75">
        <v>0</v>
      </c>
      <c r="K684" s="75">
        <f t="shared" si="234"/>
        <v>0</v>
      </c>
      <c r="L684" s="76"/>
      <c r="M684" s="78">
        <f>SUM(M669:M683)</f>
        <v>0</v>
      </c>
      <c r="N684" s="78">
        <f>SUM(N669:N683)</f>
        <v>2263.9</v>
      </c>
      <c r="O684" s="78">
        <f>SUM(O669:O683)</f>
        <v>0</v>
      </c>
      <c r="P684" s="91">
        <f>N684/H684</f>
        <v>1.0000000000000002</v>
      </c>
      <c r="Q684" s="51"/>
      <c r="T684" s="53"/>
    </row>
    <row r="685" spans="1:20" s="56" customFormat="1" ht="12" x14ac:dyDescent="0.2">
      <c r="A685" s="72"/>
      <c r="B685" s="70" t="s">
        <v>1080</v>
      </c>
      <c r="C685" s="71" t="s">
        <v>1095</v>
      </c>
      <c r="D685" s="71"/>
      <c r="E685" s="71"/>
      <c r="F685" s="75"/>
      <c r="G685" s="71"/>
      <c r="H685" s="72"/>
      <c r="I685" s="71"/>
      <c r="J685" s="75">
        <v>0</v>
      </c>
      <c r="K685" s="75"/>
      <c r="L685" s="71"/>
      <c r="M685" s="76"/>
      <c r="N685" s="76"/>
      <c r="O685" s="76"/>
      <c r="P685" s="72"/>
      <c r="Q685" s="52"/>
      <c r="T685" s="59"/>
    </row>
    <row r="686" spans="1:20" s="56" customFormat="1" ht="24" x14ac:dyDescent="0.2">
      <c r="A686" s="73" t="s">
        <v>78</v>
      </c>
      <c r="B686" s="80" t="s">
        <v>1356</v>
      </c>
      <c r="C686" s="74" t="s">
        <v>1096</v>
      </c>
      <c r="D686" s="73" t="s">
        <v>102</v>
      </c>
      <c r="E686" s="75">
        <v>12</v>
      </c>
      <c r="F686" s="75">
        <f t="shared" ref="F686:F700" si="256">ROUND(T686*$T$10,2)</f>
        <v>79.47</v>
      </c>
      <c r="G686" s="75">
        <f t="shared" ref="G686:G700" si="257">ROUND(F686*(1+$U$1),2)</f>
        <v>101.4</v>
      </c>
      <c r="H686" s="76">
        <f t="shared" ref="H686:H700" si="258">ROUND(E686*G686,2)</f>
        <v>1216.8</v>
      </c>
      <c r="I686" s="75"/>
      <c r="J686" s="75">
        <v>12</v>
      </c>
      <c r="K686" s="75">
        <f t="shared" si="234"/>
        <v>0</v>
      </c>
      <c r="L686" s="76">
        <f t="shared" ref="L686:L700" si="259">ROUND(E686*F686,2)</f>
        <v>953.64</v>
      </c>
      <c r="M686" s="76">
        <f t="shared" ref="M686:M700" si="260">I686*G686</f>
        <v>0</v>
      </c>
      <c r="N686" s="76">
        <f t="shared" ref="N686:N700" si="261">J686*G686</f>
        <v>1216.8000000000002</v>
      </c>
      <c r="O686" s="76">
        <f t="shared" ref="O686:O700" si="262">H686-N686</f>
        <v>0</v>
      </c>
      <c r="P686" s="90">
        <f t="shared" ref="P686:P700" si="263">N686/H686</f>
        <v>1.0000000000000002</v>
      </c>
      <c r="Q686" s="51"/>
      <c r="T686" s="53">
        <v>79.47</v>
      </c>
    </row>
    <row r="687" spans="1:20" s="56" customFormat="1" ht="12" x14ac:dyDescent="0.2">
      <c r="A687" s="73" t="s">
        <v>308</v>
      </c>
      <c r="B687" s="80" t="s">
        <v>1357</v>
      </c>
      <c r="C687" s="74" t="s">
        <v>1097</v>
      </c>
      <c r="D687" s="73" t="s">
        <v>102</v>
      </c>
      <c r="E687" s="75">
        <v>6</v>
      </c>
      <c r="F687" s="75">
        <f t="shared" si="256"/>
        <v>20.45</v>
      </c>
      <c r="G687" s="75">
        <f t="shared" si="257"/>
        <v>26.09</v>
      </c>
      <c r="H687" s="76">
        <f t="shared" si="258"/>
        <v>156.54</v>
      </c>
      <c r="I687" s="75"/>
      <c r="J687" s="75">
        <v>6</v>
      </c>
      <c r="K687" s="75">
        <f t="shared" si="234"/>
        <v>0</v>
      </c>
      <c r="L687" s="76">
        <f t="shared" si="259"/>
        <v>122.7</v>
      </c>
      <c r="M687" s="76">
        <f t="shared" si="260"/>
        <v>0</v>
      </c>
      <c r="N687" s="76">
        <f t="shared" si="261"/>
        <v>156.54</v>
      </c>
      <c r="O687" s="76">
        <f t="shared" si="262"/>
        <v>0</v>
      </c>
      <c r="P687" s="90">
        <f t="shared" si="263"/>
        <v>1</v>
      </c>
      <c r="Q687" s="51"/>
      <c r="T687" s="53">
        <v>20.45</v>
      </c>
    </row>
    <row r="688" spans="1:20" s="56" customFormat="1" ht="12" x14ac:dyDescent="0.2">
      <c r="A688" s="73" t="s">
        <v>308</v>
      </c>
      <c r="B688" s="80" t="s">
        <v>1358</v>
      </c>
      <c r="C688" s="74" t="s">
        <v>1098</v>
      </c>
      <c r="D688" s="73" t="s">
        <v>102</v>
      </c>
      <c r="E688" s="75">
        <v>1</v>
      </c>
      <c r="F688" s="75">
        <f t="shared" si="256"/>
        <v>33.450000000000003</v>
      </c>
      <c r="G688" s="75">
        <f t="shared" si="257"/>
        <v>42.68</v>
      </c>
      <c r="H688" s="76">
        <f t="shared" si="258"/>
        <v>42.68</v>
      </c>
      <c r="I688" s="75"/>
      <c r="J688" s="75">
        <v>1</v>
      </c>
      <c r="K688" s="75">
        <f t="shared" si="234"/>
        <v>0</v>
      </c>
      <c r="L688" s="76">
        <f t="shared" si="259"/>
        <v>33.450000000000003</v>
      </c>
      <c r="M688" s="76">
        <f t="shared" si="260"/>
        <v>0</v>
      </c>
      <c r="N688" s="76">
        <f t="shared" si="261"/>
        <v>42.68</v>
      </c>
      <c r="O688" s="76">
        <f t="shared" si="262"/>
        <v>0</v>
      </c>
      <c r="P688" s="90">
        <f t="shared" si="263"/>
        <v>1</v>
      </c>
      <c r="Q688" s="51"/>
      <c r="T688" s="53">
        <v>33.450000000000003</v>
      </c>
    </row>
    <row r="689" spans="1:20" s="56" customFormat="1" ht="12" x14ac:dyDescent="0.2">
      <c r="A689" s="73" t="s">
        <v>308</v>
      </c>
      <c r="B689" s="80" t="s">
        <v>1359</v>
      </c>
      <c r="C689" s="74" t="s">
        <v>1099</v>
      </c>
      <c r="D689" s="73" t="s">
        <v>102</v>
      </c>
      <c r="E689" s="75">
        <v>2</v>
      </c>
      <c r="F689" s="75">
        <f t="shared" si="256"/>
        <v>23.95</v>
      </c>
      <c r="G689" s="75">
        <f t="shared" si="257"/>
        <v>30.56</v>
      </c>
      <c r="H689" s="76">
        <f t="shared" si="258"/>
        <v>61.12</v>
      </c>
      <c r="I689" s="75"/>
      <c r="J689" s="75">
        <v>2</v>
      </c>
      <c r="K689" s="75">
        <f t="shared" si="234"/>
        <v>0</v>
      </c>
      <c r="L689" s="76">
        <f t="shared" si="259"/>
        <v>47.9</v>
      </c>
      <c r="M689" s="76">
        <f t="shared" si="260"/>
        <v>0</v>
      </c>
      <c r="N689" s="76">
        <f t="shared" si="261"/>
        <v>61.12</v>
      </c>
      <c r="O689" s="76">
        <f t="shared" si="262"/>
        <v>0</v>
      </c>
      <c r="P689" s="90">
        <f t="shared" si="263"/>
        <v>1</v>
      </c>
      <c r="Q689" s="51"/>
      <c r="T689" s="53">
        <v>23.95</v>
      </c>
    </row>
    <row r="690" spans="1:20" s="56" customFormat="1" ht="12" x14ac:dyDescent="0.2">
      <c r="A690" s="73" t="s">
        <v>308</v>
      </c>
      <c r="B690" s="80" t="s">
        <v>1360</v>
      </c>
      <c r="C690" s="74" t="s">
        <v>1100</v>
      </c>
      <c r="D690" s="73" t="s">
        <v>102</v>
      </c>
      <c r="E690" s="75">
        <v>15</v>
      </c>
      <c r="F690" s="75">
        <f t="shared" si="256"/>
        <v>8.93</v>
      </c>
      <c r="G690" s="75">
        <f t="shared" si="257"/>
        <v>11.39</v>
      </c>
      <c r="H690" s="76">
        <f t="shared" si="258"/>
        <v>170.85</v>
      </c>
      <c r="I690" s="75"/>
      <c r="J690" s="75">
        <v>15</v>
      </c>
      <c r="K690" s="75">
        <f t="shared" si="234"/>
        <v>0</v>
      </c>
      <c r="L690" s="76">
        <f t="shared" si="259"/>
        <v>133.94999999999999</v>
      </c>
      <c r="M690" s="76">
        <f t="shared" si="260"/>
        <v>0</v>
      </c>
      <c r="N690" s="76">
        <f t="shared" si="261"/>
        <v>170.85000000000002</v>
      </c>
      <c r="O690" s="76">
        <f t="shared" si="262"/>
        <v>0</v>
      </c>
      <c r="P690" s="90">
        <f t="shared" si="263"/>
        <v>1.0000000000000002</v>
      </c>
      <c r="Q690" s="51"/>
      <c r="T690" s="53">
        <v>8.93</v>
      </c>
    </row>
    <row r="691" spans="1:20" s="56" customFormat="1" ht="12" x14ac:dyDescent="0.2">
      <c r="A691" s="73" t="s">
        <v>308</v>
      </c>
      <c r="B691" s="80" t="s">
        <v>1361</v>
      </c>
      <c r="C691" s="74" t="s">
        <v>1101</v>
      </c>
      <c r="D691" s="73" t="s">
        <v>102</v>
      </c>
      <c r="E691" s="75">
        <v>4</v>
      </c>
      <c r="F691" s="75">
        <f t="shared" si="256"/>
        <v>8.1300000000000008</v>
      </c>
      <c r="G691" s="75">
        <f t="shared" si="257"/>
        <v>10.37</v>
      </c>
      <c r="H691" s="76">
        <f t="shared" si="258"/>
        <v>41.48</v>
      </c>
      <c r="I691" s="75"/>
      <c r="J691" s="75">
        <v>4</v>
      </c>
      <c r="K691" s="75">
        <f t="shared" si="234"/>
        <v>0</v>
      </c>
      <c r="L691" s="76">
        <f t="shared" si="259"/>
        <v>32.520000000000003</v>
      </c>
      <c r="M691" s="76">
        <f t="shared" si="260"/>
        <v>0</v>
      </c>
      <c r="N691" s="76">
        <f t="shared" si="261"/>
        <v>41.48</v>
      </c>
      <c r="O691" s="76">
        <f t="shared" si="262"/>
        <v>0</v>
      </c>
      <c r="P691" s="90">
        <f t="shared" si="263"/>
        <v>1</v>
      </c>
      <c r="Q691" s="51"/>
      <c r="T691" s="53">
        <v>8.1300000000000008</v>
      </c>
    </row>
    <row r="692" spans="1:20" s="56" customFormat="1" ht="12" x14ac:dyDescent="0.2">
      <c r="A692" s="94">
        <v>89563</v>
      </c>
      <c r="B692" s="80" t="s">
        <v>1362</v>
      </c>
      <c r="C692" s="74" t="s">
        <v>1102</v>
      </c>
      <c r="D692" s="73" t="s">
        <v>102</v>
      </c>
      <c r="E692" s="75">
        <v>40</v>
      </c>
      <c r="F692" s="75">
        <f t="shared" si="256"/>
        <v>14.21</v>
      </c>
      <c r="G692" s="75">
        <f t="shared" si="257"/>
        <v>18.13</v>
      </c>
      <c r="H692" s="76">
        <f t="shared" si="258"/>
        <v>725.2</v>
      </c>
      <c r="I692" s="75"/>
      <c r="J692" s="75">
        <v>40</v>
      </c>
      <c r="K692" s="75">
        <f t="shared" si="234"/>
        <v>0</v>
      </c>
      <c r="L692" s="76">
        <f t="shared" si="259"/>
        <v>568.4</v>
      </c>
      <c r="M692" s="76">
        <f t="shared" si="260"/>
        <v>0</v>
      </c>
      <c r="N692" s="76">
        <f t="shared" si="261"/>
        <v>725.19999999999993</v>
      </c>
      <c r="O692" s="76">
        <f t="shared" si="262"/>
        <v>0</v>
      </c>
      <c r="P692" s="90">
        <f t="shared" si="263"/>
        <v>0.99999999999999989</v>
      </c>
      <c r="Q692" s="51"/>
      <c r="T692" s="53">
        <v>14.21</v>
      </c>
    </row>
    <row r="693" spans="1:20" s="56" customFormat="1" ht="12" x14ac:dyDescent="0.2">
      <c r="A693" s="73" t="s">
        <v>308</v>
      </c>
      <c r="B693" s="80" t="s">
        <v>1363</v>
      </c>
      <c r="C693" s="74" t="s">
        <v>1103</v>
      </c>
      <c r="D693" s="73" t="s">
        <v>102</v>
      </c>
      <c r="E693" s="75">
        <v>20</v>
      </c>
      <c r="F693" s="75">
        <f t="shared" si="256"/>
        <v>33.74</v>
      </c>
      <c r="G693" s="75">
        <f t="shared" si="257"/>
        <v>43.05</v>
      </c>
      <c r="H693" s="76">
        <f t="shared" si="258"/>
        <v>861</v>
      </c>
      <c r="I693" s="75"/>
      <c r="J693" s="75">
        <v>20</v>
      </c>
      <c r="K693" s="75">
        <f t="shared" si="234"/>
        <v>0</v>
      </c>
      <c r="L693" s="76">
        <f t="shared" si="259"/>
        <v>674.8</v>
      </c>
      <c r="M693" s="76">
        <f t="shared" si="260"/>
        <v>0</v>
      </c>
      <c r="N693" s="76">
        <f t="shared" si="261"/>
        <v>861</v>
      </c>
      <c r="O693" s="76">
        <f t="shared" si="262"/>
        <v>0</v>
      </c>
      <c r="P693" s="90">
        <f t="shared" si="263"/>
        <v>1</v>
      </c>
      <c r="Q693" s="51"/>
      <c r="T693" s="53">
        <v>33.74</v>
      </c>
    </row>
    <row r="694" spans="1:20" s="56" customFormat="1" ht="12" x14ac:dyDescent="0.2">
      <c r="A694" s="73" t="s">
        <v>308</v>
      </c>
      <c r="B694" s="80" t="s">
        <v>1364</v>
      </c>
      <c r="C694" s="74" t="s">
        <v>1104</v>
      </c>
      <c r="D694" s="73" t="s">
        <v>102</v>
      </c>
      <c r="E694" s="75">
        <v>25</v>
      </c>
      <c r="F694" s="75">
        <f t="shared" si="256"/>
        <v>0.17</v>
      </c>
      <c r="G694" s="75">
        <f t="shared" si="257"/>
        <v>0.22</v>
      </c>
      <c r="H694" s="76">
        <f t="shared" si="258"/>
        <v>5.5</v>
      </c>
      <c r="I694" s="75"/>
      <c r="J694" s="75">
        <v>25</v>
      </c>
      <c r="K694" s="75">
        <f t="shared" si="234"/>
        <v>0</v>
      </c>
      <c r="L694" s="76">
        <f t="shared" si="259"/>
        <v>4.25</v>
      </c>
      <c r="M694" s="76">
        <f t="shared" si="260"/>
        <v>0</v>
      </c>
      <c r="N694" s="76">
        <f t="shared" si="261"/>
        <v>5.5</v>
      </c>
      <c r="O694" s="76">
        <f t="shared" si="262"/>
        <v>0</v>
      </c>
      <c r="P694" s="90">
        <f t="shared" si="263"/>
        <v>1</v>
      </c>
      <c r="Q694" s="51"/>
      <c r="T694" s="53">
        <v>0.17</v>
      </c>
    </row>
    <row r="695" spans="1:20" s="56" customFormat="1" ht="12" x14ac:dyDescent="0.2">
      <c r="A695" s="73" t="s">
        <v>308</v>
      </c>
      <c r="B695" s="80" t="s">
        <v>1365</v>
      </c>
      <c r="C695" s="74" t="s">
        <v>1105</v>
      </c>
      <c r="D695" s="73" t="s">
        <v>102</v>
      </c>
      <c r="E695" s="75">
        <v>160</v>
      </c>
      <c r="F695" s="75">
        <f t="shared" si="256"/>
        <v>0.19</v>
      </c>
      <c r="G695" s="75">
        <f t="shared" si="257"/>
        <v>0.24</v>
      </c>
      <c r="H695" s="76">
        <f t="shared" si="258"/>
        <v>38.4</v>
      </c>
      <c r="I695" s="75"/>
      <c r="J695" s="75">
        <v>160</v>
      </c>
      <c r="K695" s="75">
        <f t="shared" si="234"/>
        <v>0</v>
      </c>
      <c r="L695" s="76">
        <f t="shared" si="259"/>
        <v>30.4</v>
      </c>
      <c r="M695" s="76">
        <f t="shared" si="260"/>
        <v>0</v>
      </c>
      <c r="N695" s="76">
        <f t="shared" si="261"/>
        <v>38.4</v>
      </c>
      <c r="O695" s="76">
        <f t="shared" si="262"/>
        <v>0</v>
      </c>
      <c r="P695" s="90">
        <f t="shared" si="263"/>
        <v>1</v>
      </c>
      <c r="Q695" s="51"/>
      <c r="T695" s="53">
        <v>0.19</v>
      </c>
    </row>
    <row r="696" spans="1:20" s="56" customFormat="1" ht="12" x14ac:dyDescent="0.2">
      <c r="A696" s="73" t="s">
        <v>308</v>
      </c>
      <c r="B696" s="80" t="s">
        <v>1366</v>
      </c>
      <c r="C696" s="74" t="s">
        <v>1106</v>
      </c>
      <c r="D696" s="73" t="s">
        <v>102</v>
      </c>
      <c r="E696" s="75">
        <v>3</v>
      </c>
      <c r="F696" s="75">
        <f t="shared" si="256"/>
        <v>1.69</v>
      </c>
      <c r="G696" s="75">
        <f t="shared" si="257"/>
        <v>2.16</v>
      </c>
      <c r="H696" s="76">
        <f t="shared" si="258"/>
        <v>6.48</v>
      </c>
      <c r="I696" s="75"/>
      <c r="J696" s="75">
        <v>3</v>
      </c>
      <c r="K696" s="75">
        <f t="shared" si="234"/>
        <v>0</v>
      </c>
      <c r="L696" s="76">
        <f t="shared" si="259"/>
        <v>5.07</v>
      </c>
      <c r="M696" s="76">
        <f t="shared" si="260"/>
        <v>0</v>
      </c>
      <c r="N696" s="76">
        <f t="shared" si="261"/>
        <v>6.48</v>
      </c>
      <c r="O696" s="76">
        <f t="shared" si="262"/>
        <v>0</v>
      </c>
      <c r="P696" s="90">
        <f t="shared" si="263"/>
        <v>1</v>
      </c>
      <c r="Q696" s="51"/>
      <c r="T696" s="53">
        <v>1.69</v>
      </c>
    </row>
    <row r="697" spans="1:20" s="56" customFormat="1" ht="12" x14ac:dyDescent="0.2">
      <c r="A697" s="73" t="s">
        <v>308</v>
      </c>
      <c r="B697" s="80" t="s">
        <v>1367</v>
      </c>
      <c r="C697" s="74" t="s">
        <v>1107</v>
      </c>
      <c r="D697" s="73" t="s">
        <v>102</v>
      </c>
      <c r="E697" s="75">
        <v>25</v>
      </c>
      <c r="F697" s="75">
        <f t="shared" si="256"/>
        <v>1.54</v>
      </c>
      <c r="G697" s="75">
        <f t="shared" si="257"/>
        <v>1.96</v>
      </c>
      <c r="H697" s="76">
        <f t="shared" si="258"/>
        <v>49</v>
      </c>
      <c r="I697" s="75"/>
      <c r="J697" s="75">
        <v>25</v>
      </c>
      <c r="K697" s="75">
        <f t="shared" si="234"/>
        <v>0</v>
      </c>
      <c r="L697" s="76">
        <f t="shared" si="259"/>
        <v>38.5</v>
      </c>
      <c r="M697" s="76">
        <f t="shared" si="260"/>
        <v>0</v>
      </c>
      <c r="N697" s="76">
        <f t="shared" si="261"/>
        <v>49</v>
      </c>
      <c r="O697" s="76">
        <f t="shared" si="262"/>
        <v>0</v>
      </c>
      <c r="P697" s="90">
        <f t="shared" si="263"/>
        <v>1</v>
      </c>
      <c r="Q697" s="51"/>
      <c r="T697" s="53">
        <v>1.54</v>
      </c>
    </row>
    <row r="698" spans="1:20" s="56" customFormat="1" ht="24" x14ac:dyDescent="0.2">
      <c r="A698" s="73" t="s">
        <v>308</v>
      </c>
      <c r="B698" s="80" t="s">
        <v>1368</v>
      </c>
      <c r="C698" s="74" t="s">
        <v>1108</v>
      </c>
      <c r="D698" s="73" t="s">
        <v>102</v>
      </c>
      <c r="E698" s="75">
        <v>3</v>
      </c>
      <c r="F698" s="75">
        <f t="shared" si="256"/>
        <v>12.98</v>
      </c>
      <c r="G698" s="75">
        <f t="shared" si="257"/>
        <v>16.559999999999999</v>
      </c>
      <c r="H698" s="76">
        <f t="shared" si="258"/>
        <v>49.68</v>
      </c>
      <c r="I698" s="75"/>
      <c r="J698" s="75">
        <v>3</v>
      </c>
      <c r="K698" s="75">
        <f t="shared" si="234"/>
        <v>0</v>
      </c>
      <c r="L698" s="76">
        <f t="shared" si="259"/>
        <v>38.94</v>
      </c>
      <c r="M698" s="76">
        <f t="shared" si="260"/>
        <v>0</v>
      </c>
      <c r="N698" s="76">
        <f t="shared" si="261"/>
        <v>49.679999999999993</v>
      </c>
      <c r="O698" s="76">
        <f t="shared" si="262"/>
        <v>0</v>
      </c>
      <c r="P698" s="90">
        <f t="shared" si="263"/>
        <v>0.99999999999999989</v>
      </c>
      <c r="Q698" s="51"/>
      <c r="T698" s="53">
        <v>12.98</v>
      </c>
    </row>
    <row r="699" spans="1:20" s="56" customFormat="1" ht="12" x14ac:dyDescent="0.2">
      <c r="A699" s="73" t="s">
        <v>308</v>
      </c>
      <c r="B699" s="80" t="s">
        <v>1369</v>
      </c>
      <c r="C699" s="74" t="s">
        <v>1109</v>
      </c>
      <c r="D699" s="73" t="s">
        <v>102</v>
      </c>
      <c r="E699" s="75">
        <v>300</v>
      </c>
      <c r="F699" s="75">
        <f t="shared" si="256"/>
        <v>0.09</v>
      </c>
      <c r="G699" s="75">
        <f t="shared" si="257"/>
        <v>0.11</v>
      </c>
      <c r="H699" s="76">
        <f t="shared" si="258"/>
        <v>33</v>
      </c>
      <c r="I699" s="75"/>
      <c r="J699" s="75">
        <v>300</v>
      </c>
      <c r="K699" s="75">
        <f t="shared" si="234"/>
        <v>0</v>
      </c>
      <c r="L699" s="76">
        <f t="shared" si="259"/>
        <v>27</v>
      </c>
      <c r="M699" s="76">
        <f t="shared" si="260"/>
        <v>0</v>
      </c>
      <c r="N699" s="76">
        <f t="shared" si="261"/>
        <v>33</v>
      </c>
      <c r="O699" s="76">
        <f t="shared" si="262"/>
        <v>0</v>
      </c>
      <c r="P699" s="90">
        <f t="shared" si="263"/>
        <v>1</v>
      </c>
      <c r="Q699" s="51"/>
      <c r="T699" s="53">
        <v>0.09</v>
      </c>
    </row>
    <row r="700" spans="1:20" s="56" customFormat="1" ht="12" x14ac:dyDescent="0.2">
      <c r="A700" s="73" t="s">
        <v>308</v>
      </c>
      <c r="B700" s="80" t="s">
        <v>1370</v>
      </c>
      <c r="C700" s="74" t="s">
        <v>1110</v>
      </c>
      <c r="D700" s="73" t="s">
        <v>102</v>
      </c>
      <c r="E700" s="75">
        <v>15</v>
      </c>
      <c r="F700" s="75">
        <f t="shared" si="256"/>
        <v>12.18</v>
      </c>
      <c r="G700" s="75">
        <f t="shared" si="257"/>
        <v>15.54</v>
      </c>
      <c r="H700" s="76">
        <f t="shared" si="258"/>
        <v>233.1</v>
      </c>
      <c r="I700" s="75"/>
      <c r="J700" s="75">
        <v>15</v>
      </c>
      <c r="K700" s="75">
        <f t="shared" si="234"/>
        <v>0</v>
      </c>
      <c r="L700" s="76">
        <f t="shared" si="259"/>
        <v>182.7</v>
      </c>
      <c r="M700" s="76">
        <f t="shared" si="260"/>
        <v>0</v>
      </c>
      <c r="N700" s="76">
        <f t="shared" si="261"/>
        <v>233.1</v>
      </c>
      <c r="O700" s="76">
        <f t="shared" si="262"/>
        <v>0</v>
      </c>
      <c r="P700" s="90">
        <f t="shared" si="263"/>
        <v>1</v>
      </c>
      <c r="Q700" s="51"/>
      <c r="T700" s="53">
        <v>12.18</v>
      </c>
    </row>
    <row r="701" spans="1:20" s="56" customFormat="1" ht="30.75" customHeight="1" x14ac:dyDescent="0.2">
      <c r="A701" s="73"/>
      <c r="B701" s="87"/>
      <c r="C701" s="74"/>
      <c r="D701" s="73"/>
      <c r="E701" s="75"/>
      <c r="F701" s="75"/>
      <c r="G701" s="77" t="s">
        <v>1323</v>
      </c>
      <c r="H701" s="78">
        <f>SUM(H686:H700)</f>
        <v>3690.83</v>
      </c>
      <c r="I701" s="75"/>
      <c r="J701" s="75">
        <v>0</v>
      </c>
      <c r="K701" s="75"/>
      <c r="L701" s="76"/>
      <c r="M701" s="78">
        <f>SUM(M686:M700)</f>
        <v>0</v>
      </c>
      <c r="N701" s="78">
        <f>SUM(N686:N700)</f>
        <v>3690.83</v>
      </c>
      <c r="O701" s="78">
        <f>SUM(O686:O700)</f>
        <v>0</v>
      </c>
      <c r="P701" s="91">
        <f>N701/H701</f>
        <v>1</v>
      </c>
      <c r="Q701" s="51"/>
      <c r="T701" s="53"/>
    </row>
    <row r="702" spans="1:20" s="56" customFormat="1" ht="12" x14ac:dyDescent="0.2">
      <c r="A702" s="72"/>
      <c r="B702" s="73" t="s">
        <v>1094</v>
      </c>
      <c r="C702" s="71" t="s">
        <v>1112</v>
      </c>
      <c r="D702" s="72"/>
      <c r="E702" s="72"/>
      <c r="F702" s="75"/>
      <c r="G702" s="72"/>
      <c r="H702" s="72"/>
      <c r="I702" s="72"/>
      <c r="J702" s="75"/>
      <c r="K702" s="75"/>
      <c r="L702" s="72"/>
      <c r="M702" s="76"/>
      <c r="N702" s="76"/>
      <c r="O702" s="76"/>
      <c r="P702" s="90"/>
      <c r="Q702" s="52"/>
      <c r="T702" s="52"/>
    </row>
    <row r="703" spans="1:20" s="56" customFormat="1" ht="12" x14ac:dyDescent="0.2">
      <c r="A703" s="73" t="s">
        <v>308</v>
      </c>
      <c r="B703" s="73" t="s">
        <v>1371</v>
      </c>
      <c r="C703" s="74" t="s">
        <v>1113</v>
      </c>
      <c r="D703" s="73" t="s">
        <v>102</v>
      </c>
      <c r="E703" s="75">
        <v>10</v>
      </c>
      <c r="F703" s="75">
        <f t="shared" ref="F703:F709" si="264">ROUND(T703*$T$10,2)</f>
        <v>26.9</v>
      </c>
      <c r="G703" s="75">
        <f t="shared" ref="G703:G709" si="265">ROUND(F703*(1+$U$1),2)</f>
        <v>34.32</v>
      </c>
      <c r="H703" s="76">
        <f t="shared" ref="H703:H709" si="266">ROUND(E703*G703,2)</f>
        <v>343.2</v>
      </c>
      <c r="I703" s="75"/>
      <c r="J703" s="75">
        <v>10</v>
      </c>
      <c r="K703" s="75">
        <f t="shared" si="234"/>
        <v>0</v>
      </c>
      <c r="L703" s="76">
        <f t="shared" ref="L703:L709" si="267">ROUND(E703*F703,2)</f>
        <v>269</v>
      </c>
      <c r="M703" s="76">
        <f t="shared" ref="M703:M709" si="268">I703*G703</f>
        <v>0</v>
      </c>
      <c r="N703" s="76">
        <f t="shared" ref="N703:N709" si="269">J703*G703</f>
        <v>343.2</v>
      </c>
      <c r="O703" s="76">
        <f t="shared" ref="O703:O709" si="270">H703-N703</f>
        <v>0</v>
      </c>
      <c r="P703" s="90">
        <f t="shared" ref="P703:P709" si="271">N703/H703</f>
        <v>1</v>
      </c>
      <c r="Q703" s="51"/>
      <c r="T703" s="53">
        <v>26.9</v>
      </c>
    </row>
    <row r="704" spans="1:20" s="56" customFormat="1" ht="12" x14ac:dyDescent="0.2">
      <c r="A704" s="73" t="s">
        <v>308</v>
      </c>
      <c r="B704" s="73" t="s">
        <v>1372</v>
      </c>
      <c r="C704" s="74" t="s">
        <v>1114</v>
      </c>
      <c r="D704" s="73" t="s">
        <v>102</v>
      </c>
      <c r="E704" s="75">
        <v>10</v>
      </c>
      <c r="F704" s="75">
        <f t="shared" si="264"/>
        <v>15.67</v>
      </c>
      <c r="G704" s="75">
        <f t="shared" si="265"/>
        <v>19.989999999999998</v>
      </c>
      <c r="H704" s="76">
        <f t="shared" si="266"/>
        <v>199.9</v>
      </c>
      <c r="I704" s="75"/>
      <c r="J704" s="75">
        <v>10</v>
      </c>
      <c r="K704" s="75">
        <f t="shared" ref="K704:K767" si="272">E704-J704</f>
        <v>0</v>
      </c>
      <c r="L704" s="76">
        <f t="shared" si="267"/>
        <v>156.69999999999999</v>
      </c>
      <c r="M704" s="76">
        <f t="shared" si="268"/>
        <v>0</v>
      </c>
      <c r="N704" s="76">
        <f t="shared" si="269"/>
        <v>199.89999999999998</v>
      </c>
      <c r="O704" s="76">
        <f t="shared" si="270"/>
        <v>0</v>
      </c>
      <c r="P704" s="90">
        <f t="shared" si="271"/>
        <v>0.99999999999999989</v>
      </c>
      <c r="Q704" s="51"/>
      <c r="T704" s="53">
        <v>15.67</v>
      </c>
    </row>
    <row r="705" spans="1:20" s="56" customFormat="1" ht="12" x14ac:dyDescent="0.2">
      <c r="A705" s="73" t="s">
        <v>308</v>
      </c>
      <c r="B705" s="73" t="s">
        <v>1373</v>
      </c>
      <c r="C705" s="74" t="s">
        <v>1115</v>
      </c>
      <c r="D705" s="73" t="s">
        <v>102</v>
      </c>
      <c r="E705" s="75">
        <v>20</v>
      </c>
      <c r="F705" s="75">
        <f t="shared" si="264"/>
        <v>5.57</v>
      </c>
      <c r="G705" s="75">
        <f t="shared" si="265"/>
        <v>7.11</v>
      </c>
      <c r="H705" s="76">
        <f t="shared" si="266"/>
        <v>142.19999999999999</v>
      </c>
      <c r="I705" s="75"/>
      <c r="J705" s="75">
        <v>20</v>
      </c>
      <c r="K705" s="75">
        <f t="shared" si="272"/>
        <v>0</v>
      </c>
      <c r="L705" s="76">
        <f t="shared" si="267"/>
        <v>111.4</v>
      </c>
      <c r="M705" s="76">
        <f t="shared" si="268"/>
        <v>0</v>
      </c>
      <c r="N705" s="76">
        <f t="shared" si="269"/>
        <v>142.20000000000002</v>
      </c>
      <c r="O705" s="76">
        <f t="shared" si="270"/>
        <v>0</v>
      </c>
      <c r="P705" s="90">
        <f t="shared" si="271"/>
        <v>1.0000000000000002</v>
      </c>
      <c r="Q705" s="51"/>
      <c r="T705" s="53">
        <v>5.57</v>
      </c>
    </row>
    <row r="706" spans="1:20" s="56" customFormat="1" ht="12" x14ac:dyDescent="0.2">
      <c r="A706" s="73" t="s">
        <v>308</v>
      </c>
      <c r="B706" s="73" t="s">
        <v>1374</v>
      </c>
      <c r="C706" s="74" t="s">
        <v>1116</v>
      </c>
      <c r="D706" s="73" t="s">
        <v>102</v>
      </c>
      <c r="E706" s="75">
        <v>2</v>
      </c>
      <c r="F706" s="75">
        <f t="shared" si="264"/>
        <v>7.1</v>
      </c>
      <c r="G706" s="75">
        <f t="shared" si="265"/>
        <v>9.06</v>
      </c>
      <c r="H706" s="76">
        <f t="shared" si="266"/>
        <v>18.12</v>
      </c>
      <c r="I706" s="75"/>
      <c r="J706" s="75">
        <v>2</v>
      </c>
      <c r="K706" s="75">
        <f t="shared" si="272"/>
        <v>0</v>
      </c>
      <c r="L706" s="76">
        <f t="shared" si="267"/>
        <v>14.2</v>
      </c>
      <c r="M706" s="76">
        <f t="shared" si="268"/>
        <v>0</v>
      </c>
      <c r="N706" s="76">
        <f t="shared" si="269"/>
        <v>18.12</v>
      </c>
      <c r="O706" s="76">
        <f t="shared" si="270"/>
        <v>0</v>
      </c>
      <c r="P706" s="90">
        <f t="shared" si="271"/>
        <v>1</v>
      </c>
      <c r="Q706" s="51"/>
      <c r="T706" s="53">
        <v>7.1</v>
      </c>
    </row>
    <row r="707" spans="1:20" s="56" customFormat="1" ht="12" x14ac:dyDescent="0.2">
      <c r="A707" s="73" t="s">
        <v>308</v>
      </c>
      <c r="B707" s="73" t="s">
        <v>1375</v>
      </c>
      <c r="C707" s="74" t="s">
        <v>1117</v>
      </c>
      <c r="D707" s="73" t="s">
        <v>102</v>
      </c>
      <c r="E707" s="75">
        <v>40</v>
      </c>
      <c r="F707" s="75">
        <f t="shared" si="264"/>
        <v>1.72</v>
      </c>
      <c r="G707" s="75">
        <f t="shared" si="265"/>
        <v>2.19</v>
      </c>
      <c r="H707" s="76">
        <f t="shared" si="266"/>
        <v>87.6</v>
      </c>
      <c r="I707" s="75"/>
      <c r="J707" s="75">
        <v>40</v>
      </c>
      <c r="K707" s="75">
        <f t="shared" si="272"/>
        <v>0</v>
      </c>
      <c r="L707" s="76">
        <f t="shared" si="267"/>
        <v>68.8</v>
      </c>
      <c r="M707" s="76">
        <f t="shared" si="268"/>
        <v>0</v>
      </c>
      <c r="N707" s="76">
        <f t="shared" si="269"/>
        <v>87.6</v>
      </c>
      <c r="O707" s="76">
        <f t="shared" si="270"/>
        <v>0</v>
      </c>
      <c r="P707" s="90">
        <f t="shared" si="271"/>
        <v>1</v>
      </c>
      <c r="Q707" s="51"/>
      <c r="T707" s="53">
        <v>1.72</v>
      </c>
    </row>
    <row r="708" spans="1:20" s="56" customFormat="1" ht="12" x14ac:dyDescent="0.2">
      <c r="A708" s="73" t="s">
        <v>308</v>
      </c>
      <c r="B708" s="73" t="s">
        <v>1376</v>
      </c>
      <c r="C708" s="74" t="s">
        <v>1118</v>
      </c>
      <c r="D708" s="73" t="s">
        <v>102</v>
      </c>
      <c r="E708" s="75">
        <v>4</v>
      </c>
      <c r="F708" s="75">
        <f t="shared" si="264"/>
        <v>2.33</v>
      </c>
      <c r="G708" s="75">
        <f t="shared" si="265"/>
        <v>2.97</v>
      </c>
      <c r="H708" s="76">
        <f t="shared" si="266"/>
        <v>11.88</v>
      </c>
      <c r="I708" s="75"/>
      <c r="J708" s="75">
        <v>4</v>
      </c>
      <c r="K708" s="75">
        <f t="shared" si="272"/>
        <v>0</v>
      </c>
      <c r="L708" s="76">
        <f t="shared" si="267"/>
        <v>9.32</v>
      </c>
      <c r="M708" s="76">
        <f t="shared" si="268"/>
        <v>0</v>
      </c>
      <c r="N708" s="76">
        <f t="shared" si="269"/>
        <v>11.88</v>
      </c>
      <c r="O708" s="76">
        <f t="shared" si="270"/>
        <v>0</v>
      </c>
      <c r="P708" s="90">
        <f t="shared" si="271"/>
        <v>1</v>
      </c>
      <c r="Q708" s="51"/>
      <c r="T708" s="53">
        <v>2.33</v>
      </c>
    </row>
    <row r="709" spans="1:20" s="56" customFormat="1" ht="12" x14ac:dyDescent="0.2">
      <c r="A709" s="73" t="s">
        <v>308</v>
      </c>
      <c r="B709" s="73" t="s">
        <v>1377</v>
      </c>
      <c r="C709" s="74" t="s">
        <v>1119</v>
      </c>
      <c r="D709" s="73" t="s">
        <v>102</v>
      </c>
      <c r="E709" s="75">
        <v>7</v>
      </c>
      <c r="F709" s="75">
        <f t="shared" si="264"/>
        <v>4.74</v>
      </c>
      <c r="G709" s="75">
        <f t="shared" si="265"/>
        <v>6.05</v>
      </c>
      <c r="H709" s="76">
        <f t="shared" si="266"/>
        <v>42.35</v>
      </c>
      <c r="I709" s="75"/>
      <c r="J709" s="75">
        <v>7</v>
      </c>
      <c r="K709" s="75">
        <f t="shared" si="272"/>
        <v>0</v>
      </c>
      <c r="L709" s="76">
        <f t="shared" si="267"/>
        <v>33.18</v>
      </c>
      <c r="M709" s="76">
        <f t="shared" si="268"/>
        <v>0</v>
      </c>
      <c r="N709" s="76">
        <f t="shared" si="269"/>
        <v>42.35</v>
      </c>
      <c r="O709" s="76">
        <f t="shared" si="270"/>
        <v>0</v>
      </c>
      <c r="P709" s="90">
        <f t="shared" si="271"/>
        <v>1</v>
      </c>
      <c r="Q709" s="51"/>
      <c r="T709" s="53">
        <v>4.74</v>
      </c>
    </row>
    <row r="710" spans="1:20" s="56" customFormat="1" ht="24.75" customHeight="1" x14ac:dyDescent="0.2">
      <c r="A710" s="73"/>
      <c r="B710" s="80"/>
      <c r="C710" s="74"/>
      <c r="D710" s="73"/>
      <c r="E710" s="75"/>
      <c r="F710" s="75"/>
      <c r="G710" s="77" t="s">
        <v>1323</v>
      </c>
      <c r="H710" s="78">
        <f>SUM(H703:H709)</f>
        <v>845.25</v>
      </c>
      <c r="I710" s="75"/>
      <c r="J710" s="75">
        <v>0</v>
      </c>
      <c r="K710" s="75"/>
      <c r="L710" s="76"/>
      <c r="M710" s="78">
        <f>SUM(M703:M709)</f>
        <v>0</v>
      </c>
      <c r="N710" s="78">
        <f>SUM(N703:N709)</f>
        <v>845.25</v>
      </c>
      <c r="O710" s="78">
        <f>SUM(O703:O709)</f>
        <v>0</v>
      </c>
      <c r="P710" s="91">
        <f>N710/H710</f>
        <v>1</v>
      </c>
      <c r="Q710" s="51"/>
      <c r="T710" s="53"/>
    </row>
    <row r="711" spans="1:20" s="56" customFormat="1" ht="12" x14ac:dyDescent="0.2">
      <c r="A711" s="72"/>
      <c r="B711" s="73" t="s">
        <v>1111</v>
      </c>
      <c r="C711" s="71" t="s">
        <v>1121</v>
      </c>
      <c r="D711" s="72"/>
      <c r="E711" s="72"/>
      <c r="F711" s="75"/>
      <c r="G711" s="72"/>
      <c r="H711" s="72"/>
      <c r="I711" s="72"/>
      <c r="J711" s="75"/>
      <c r="K711" s="75"/>
      <c r="L711" s="72"/>
      <c r="M711" s="76"/>
      <c r="N711" s="76"/>
      <c r="O711" s="76"/>
      <c r="P711" s="90"/>
      <c r="Q711" s="52"/>
      <c r="T711" s="52"/>
    </row>
    <row r="712" spans="1:20" s="56" customFormat="1" ht="12" x14ac:dyDescent="0.2">
      <c r="A712" s="73" t="s">
        <v>308</v>
      </c>
      <c r="B712" s="80" t="s">
        <v>1325</v>
      </c>
      <c r="C712" s="74" t="s">
        <v>1122</v>
      </c>
      <c r="D712" s="73" t="s">
        <v>102</v>
      </c>
      <c r="E712" s="75">
        <v>41</v>
      </c>
      <c r="F712" s="75">
        <f>ROUND(T712*$T$10,2)</f>
        <v>11.01</v>
      </c>
      <c r="G712" s="75">
        <f>ROUND(F712*(1+$U$1),2)</f>
        <v>14.05</v>
      </c>
      <c r="H712" s="76">
        <f>ROUND(E712*G712,2)</f>
        <v>576.04999999999995</v>
      </c>
      <c r="I712" s="75">
        <v>41</v>
      </c>
      <c r="J712" s="75">
        <f>I712</f>
        <v>41</v>
      </c>
      <c r="K712" s="75">
        <f t="shared" si="272"/>
        <v>0</v>
      </c>
      <c r="L712" s="76">
        <f>ROUND(E712*F712,2)</f>
        <v>451.41</v>
      </c>
      <c r="M712" s="76">
        <f>I712*G712</f>
        <v>576.05000000000007</v>
      </c>
      <c r="N712" s="76">
        <f>J712*G712</f>
        <v>576.05000000000007</v>
      </c>
      <c r="O712" s="76">
        <f>H712-N712</f>
        <v>0</v>
      </c>
      <c r="P712" s="90">
        <f t="shared" ref="P712" si="273">N712/H712</f>
        <v>1.0000000000000002</v>
      </c>
      <c r="Q712" s="51"/>
      <c r="T712" s="53">
        <v>11.01</v>
      </c>
    </row>
    <row r="713" spans="1:20" s="56" customFormat="1" ht="21.75" customHeight="1" x14ac:dyDescent="0.2">
      <c r="A713" s="73"/>
      <c r="B713" s="80"/>
      <c r="C713" s="74"/>
      <c r="D713" s="73"/>
      <c r="E713" s="75"/>
      <c r="F713" s="75"/>
      <c r="G713" s="77" t="s">
        <v>1324</v>
      </c>
      <c r="H713" s="78">
        <f>SUM(H712)</f>
        <v>576.04999999999995</v>
      </c>
      <c r="I713" s="75"/>
      <c r="J713" s="75">
        <v>0</v>
      </c>
      <c r="K713" s="75">
        <f t="shared" si="272"/>
        <v>0</v>
      </c>
      <c r="L713" s="76"/>
      <c r="M713" s="78">
        <f>SUM(M712)</f>
        <v>576.05000000000007</v>
      </c>
      <c r="N713" s="78">
        <f>SUM(N712)</f>
        <v>576.05000000000007</v>
      </c>
      <c r="O713" s="78">
        <f>SUM(O712)</f>
        <v>0</v>
      </c>
      <c r="P713" s="91">
        <f>N713/H713</f>
        <v>1.0000000000000002</v>
      </c>
      <c r="Q713" s="51"/>
      <c r="T713" s="53"/>
    </row>
    <row r="714" spans="1:20" s="56" customFormat="1" ht="12" x14ac:dyDescent="0.2">
      <c r="A714" s="72"/>
      <c r="B714" s="71"/>
      <c r="C714" s="71"/>
      <c r="D714" s="71"/>
      <c r="E714" s="71"/>
      <c r="F714" s="75"/>
      <c r="G714" s="77" t="s">
        <v>1123</v>
      </c>
      <c r="H714" s="78">
        <f>H713+H710+H701+H684+H666+H656+H652+H646</f>
        <v>21950.29</v>
      </c>
      <c r="I714" s="71"/>
      <c r="J714" s="75">
        <v>0</v>
      </c>
      <c r="K714" s="75">
        <f t="shared" si="272"/>
        <v>0</v>
      </c>
      <c r="L714" s="78">
        <f>SUM(L686:L712,L637:L683)</f>
        <v>17207.709999999995</v>
      </c>
      <c r="M714" s="78">
        <f>M713+M710+M701+M684+M666+M656+M652+M646</f>
        <v>14192.11</v>
      </c>
      <c r="N714" s="78">
        <f>N713+N710+N701+N684+N666+N656+N652+N646</f>
        <v>21950.29</v>
      </c>
      <c r="O714" s="78">
        <f>O713+O710+O701+O684+O666+O656+O652+O646</f>
        <v>0</v>
      </c>
      <c r="P714" s="91">
        <f>N714/H714</f>
        <v>1</v>
      </c>
      <c r="Q714" s="78">
        <v>21950.29</v>
      </c>
      <c r="T714" s="59"/>
    </row>
    <row r="715" spans="1:20" s="56" customFormat="1" ht="24" x14ac:dyDescent="0.2">
      <c r="A715" s="72"/>
      <c r="B715" s="70" t="s">
        <v>1124</v>
      </c>
      <c r="C715" s="71" t="s">
        <v>1125</v>
      </c>
      <c r="D715" s="72"/>
      <c r="E715" s="72"/>
      <c r="F715" s="75"/>
      <c r="G715" s="72"/>
      <c r="H715" s="72"/>
      <c r="I715" s="72"/>
      <c r="J715" s="75"/>
      <c r="K715" s="75"/>
      <c r="L715" s="72"/>
      <c r="M715" s="72"/>
      <c r="N715" s="72"/>
      <c r="O715" s="72"/>
      <c r="P715" s="90"/>
      <c r="Q715" s="52"/>
      <c r="T715" s="52"/>
    </row>
    <row r="716" spans="1:20" s="56" customFormat="1" ht="12" x14ac:dyDescent="0.2">
      <c r="A716" s="72"/>
      <c r="B716" s="70" t="s">
        <v>1126</v>
      </c>
      <c r="C716" s="71" t="s">
        <v>684</v>
      </c>
      <c r="D716" s="72"/>
      <c r="E716" s="72"/>
      <c r="F716" s="75"/>
      <c r="G716" s="72"/>
      <c r="H716" s="72"/>
      <c r="I716" s="72"/>
      <c r="J716" s="75"/>
      <c r="K716" s="75"/>
      <c r="L716" s="72"/>
      <c r="M716" s="72"/>
      <c r="N716" s="72"/>
      <c r="O716" s="72"/>
      <c r="P716" s="90"/>
      <c r="Q716" s="52"/>
      <c r="T716" s="52"/>
    </row>
    <row r="717" spans="1:20" s="56" customFormat="1" ht="24" x14ac:dyDescent="0.2">
      <c r="A717" s="73" t="s">
        <v>308</v>
      </c>
      <c r="B717" s="80">
        <v>44927</v>
      </c>
      <c r="C717" s="74" t="s">
        <v>1127</v>
      </c>
      <c r="D717" s="73" t="s">
        <v>102</v>
      </c>
      <c r="E717" s="75">
        <v>1</v>
      </c>
      <c r="F717" s="75">
        <f>ROUND(T717*$T$10,2)</f>
        <v>419.11</v>
      </c>
      <c r="G717" s="75">
        <f>ROUND(F717*(1+$U$1),2)</f>
        <v>534.74</v>
      </c>
      <c r="H717" s="76">
        <f>ROUND(E717*G717,2)</f>
        <v>534.74</v>
      </c>
      <c r="I717" s="75"/>
      <c r="J717" s="75">
        <v>0</v>
      </c>
      <c r="K717" s="75">
        <f t="shared" si="272"/>
        <v>1</v>
      </c>
      <c r="L717" s="76">
        <f>ROUND(E717*F717,2)</f>
        <v>419.11</v>
      </c>
      <c r="M717" s="76">
        <f>I717*G717</f>
        <v>0</v>
      </c>
      <c r="N717" s="76">
        <f>J717*G717</f>
        <v>0</v>
      </c>
      <c r="O717" s="76">
        <f>H717-N717</f>
        <v>534.74</v>
      </c>
      <c r="P717" s="90">
        <f t="shared" ref="P717:P719" si="274">N717/H717</f>
        <v>0</v>
      </c>
      <c r="Q717" s="51"/>
      <c r="T717" s="53">
        <v>419.11</v>
      </c>
    </row>
    <row r="718" spans="1:20" s="56" customFormat="1" ht="24" x14ac:dyDescent="0.2">
      <c r="A718" s="73" t="s">
        <v>308</v>
      </c>
      <c r="B718" s="80">
        <v>44928</v>
      </c>
      <c r="C718" s="74" t="s">
        <v>1128</v>
      </c>
      <c r="D718" s="73" t="s">
        <v>102</v>
      </c>
      <c r="E718" s="75">
        <v>1</v>
      </c>
      <c r="F718" s="75">
        <f>ROUND(T718*$T$10,2)</f>
        <v>385</v>
      </c>
      <c r="G718" s="75">
        <f>ROUND(F718*(1+$U$1),2)</f>
        <v>491.22</v>
      </c>
      <c r="H718" s="76">
        <f>ROUND(E718*G718,2)</f>
        <v>491.22</v>
      </c>
      <c r="I718" s="75"/>
      <c r="J718" s="75">
        <v>0</v>
      </c>
      <c r="K718" s="75">
        <f t="shared" si="272"/>
        <v>1</v>
      </c>
      <c r="L718" s="76">
        <f>ROUND(E718*F718,2)</f>
        <v>385</v>
      </c>
      <c r="M718" s="76">
        <f>I718*G718</f>
        <v>0</v>
      </c>
      <c r="N718" s="76">
        <f>J718*G718</f>
        <v>0</v>
      </c>
      <c r="O718" s="76">
        <f>H718-N718</f>
        <v>491.22</v>
      </c>
      <c r="P718" s="90">
        <f t="shared" si="274"/>
        <v>0</v>
      </c>
      <c r="Q718" s="51"/>
      <c r="T718" s="53">
        <v>385</v>
      </c>
    </row>
    <row r="719" spans="1:20" s="56" customFormat="1" ht="24" x14ac:dyDescent="0.2">
      <c r="A719" s="73" t="s">
        <v>308</v>
      </c>
      <c r="B719" s="80">
        <v>44929</v>
      </c>
      <c r="C719" s="74" t="s">
        <v>1129</v>
      </c>
      <c r="D719" s="73" t="s">
        <v>102</v>
      </c>
      <c r="E719" s="75">
        <v>1</v>
      </c>
      <c r="F719" s="75">
        <f>ROUND(T719*$T$10,2)</f>
        <v>250</v>
      </c>
      <c r="G719" s="75">
        <f>ROUND(F719*(1+$U$1),2)</f>
        <v>318.98</v>
      </c>
      <c r="H719" s="76">
        <f>ROUND(E719*G719,2)</f>
        <v>318.98</v>
      </c>
      <c r="I719" s="75"/>
      <c r="J719" s="75">
        <v>0</v>
      </c>
      <c r="K719" s="75">
        <f t="shared" si="272"/>
        <v>1</v>
      </c>
      <c r="L719" s="76">
        <f>ROUND(E719*F719,2)</f>
        <v>250</v>
      </c>
      <c r="M719" s="76">
        <f>I719*G719</f>
        <v>0</v>
      </c>
      <c r="N719" s="76">
        <f>J719*G719</f>
        <v>0</v>
      </c>
      <c r="O719" s="76">
        <f>H719-N719</f>
        <v>318.98</v>
      </c>
      <c r="P719" s="90">
        <f t="shared" si="274"/>
        <v>0</v>
      </c>
      <c r="Q719" s="51"/>
      <c r="T719" s="53">
        <v>250</v>
      </c>
    </row>
    <row r="720" spans="1:20" s="56" customFormat="1" ht="12" x14ac:dyDescent="0.2">
      <c r="A720" s="72"/>
      <c r="B720" s="71"/>
      <c r="C720" s="71"/>
      <c r="D720" s="71"/>
      <c r="E720" s="71"/>
      <c r="F720" s="75"/>
      <c r="G720" s="77" t="s">
        <v>1130</v>
      </c>
      <c r="H720" s="78">
        <f>SUM(H717:H719)</f>
        <v>1344.94</v>
      </c>
      <c r="I720" s="71"/>
      <c r="J720" s="75">
        <v>0</v>
      </c>
      <c r="K720" s="75">
        <f t="shared" si="272"/>
        <v>0</v>
      </c>
      <c r="L720" s="78">
        <f>SUM(L717:L719)</f>
        <v>1054.1100000000001</v>
      </c>
      <c r="M720" s="78">
        <f>SUM(M717:M719)</f>
        <v>0</v>
      </c>
      <c r="N720" s="78">
        <f>SUM(N717:N719)</f>
        <v>0</v>
      </c>
      <c r="O720" s="78">
        <f>SUM(O717:O719)</f>
        <v>1344.94</v>
      </c>
      <c r="P720" s="91">
        <f>N720/H720</f>
        <v>0</v>
      </c>
      <c r="Q720" s="60"/>
      <c r="T720" s="59"/>
    </row>
    <row r="721" spans="1:20" s="56" customFormat="1" ht="12" x14ac:dyDescent="0.2">
      <c r="A721" s="72"/>
      <c r="B721" s="70" t="s">
        <v>1131</v>
      </c>
      <c r="C721" s="71" t="s">
        <v>1132</v>
      </c>
      <c r="D721" s="72"/>
      <c r="E721" s="72"/>
      <c r="F721" s="75"/>
      <c r="G721" s="72"/>
      <c r="H721" s="72"/>
      <c r="I721" s="72"/>
      <c r="J721" s="75">
        <v>0</v>
      </c>
      <c r="K721" s="75">
        <f t="shared" si="272"/>
        <v>0</v>
      </c>
      <c r="L721" s="72"/>
      <c r="M721" s="72"/>
      <c r="N721" s="72"/>
      <c r="O721" s="72"/>
      <c r="P721" s="72"/>
      <c r="Q721" s="52"/>
      <c r="T721" s="52"/>
    </row>
    <row r="722" spans="1:20" s="56" customFormat="1" ht="12" x14ac:dyDescent="0.2">
      <c r="A722" s="72"/>
      <c r="B722" s="81">
        <v>44958</v>
      </c>
      <c r="C722" s="71" t="s">
        <v>1133</v>
      </c>
      <c r="D722" s="72"/>
      <c r="E722" s="72"/>
      <c r="F722" s="75"/>
      <c r="G722" s="72"/>
      <c r="H722" s="72"/>
      <c r="I722" s="72"/>
      <c r="J722" s="75">
        <v>0</v>
      </c>
      <c r="K722" s="75">
        <f t="shared" si="272"/>
        <v>0</v>
      </c>
      <c r="L722" s="72"/>
      <c r="M722" s="72"/>
      <c r="N722" s="72"/>
      <c r="O722" s="72"/>
      <c r="P722" s="72"/>
      <c r="Q722" s="52"/>
      <c r="T722" s="52"/>
    </row>
    <row r="723" spans="1:20" s="56" customFormat="1" ht="25.5" x14ac:dyDescent="0.2">
      <c r="A723" s="73" t="s">
        <v>308</v>
      </c>
      <c r="B723" s="73" t="s">
        <v>1134</v>
      </c>
      <c r="C723" s="74" t="s">
        <v>1175</v>
      </c>
      <c r="D723" s="73" t="s">
        <v>35</v>
      </c>
      <c r="E723" s="75">
        <v>8</v>
      </c>
      <c r="F723" s="75">
        <f t="shared" ref="F723:F728" si="275">ROUND(T723*$T$10,2)</f>
        <v>15.25</v>
      </c>
      <c r="G723" s="75">
        <f t="shared" ref="G723:G728" si="276">ROUND(F723*(1+$U$1),2)</f>
        <v>19.46</v>
      </c>
      <c r="H723" s="76">
        <f t="shared" ref="H723:H728" si="277">ROUND(E723*G723,2)</f>
        <v>155.68</v>
      </c>
      <c r="I723" s="75">
        <v>8</v>
      </c>
      <c r="J723" s="75">
        <f>I723</f>
        <v>8</v>
      </c>
      <c r="K723" s="75">
        <f t="shared" si="272"/>
        <v>0</v>
      </c>
      <c r="L723" s="76">
        <f t="shared" ref="L723:L728" si="278">ROUND(E723*F723,2)</f>
        <v>122</v>
      </c>
      <c r="M723" s="76">
        <f t="shared" ref="M723:M728" si="279">I723*G723</f>
        <v>155.68</v>
      </c>
      <c r="N723" s="76">
        <f t="shared" ref="N723:N728" si="280">J723*G723</f>
        <v>155.68</v>
      </c>
      <c r="O723" s="76">
        <f t="shared" ref="O723:O728" si="281">H723-N723</f>
        <v>0</v>
      </c>
      <c r="P723" s="90">
        <f t="shared" ref="P723:P735" si="282">N723/H723</f>
        <v>1</v>
      </c>
      <c r="Q723" s="51"/>
      <c r="T723" s="53">
        <v>15.25</v>
      </c>
    </row>
    <row r="724" spans="1:20" s="56" customFormat="1" ht="25.5" x14ac:dyDescent="0.2">
      <c r="A724" s="73" t="s">
        <v>308</v>
      </c>
      <c r="B724" s="73" t="s">
        <v>1135</v>
      </c>
      <c r="C724" s="74" t="s">
        <v>1176</v>
      </c>
      <c r="D724" s="73" t="s">
        <v>35</v>
      </c>
      <c r="E724" s="75">
        <v>16</v>
      </c>
      <c r="F724" s="75">
        <f t="shared" si="275"/>
        <v>21.01</v>
      </c>
      <c r="G724" s="75">
        <f t="shared" si="276"/>
        <v>26.81</v>
      </c>
      <c r="H724" s="76">
        <f t="shared" si="277"/>
        <v>428.96</v>
      </c>
      <c r="I724" s="75">
        <v>16</v>
      </c>
      <c r="J724" s="75">
        <f t="shared" ref="J724:J735" si="283">I724</f>
        <v>16</v>
      </c>
      <c r="K724" s="75">
        <f t="shared" si="272"/>
        <v>0</v>
      </c>
      <c r="L724" s="76">
        <f t="shared" si="278"/>
        <v>336.16</v>
      </c>
      <c r="M724" s="76">
        <f t="shared" si="279"/>
        <v>428.96</v>
      </c>
      <c r="N724" s="76">
        <f t="shared" si="280"/>
        <v>428.96</v>
      </c>
      <c r="O724" s="76">
        <f t="shared" si="281"/>
        <v>0</v>
      </c>
      <c r="P724" s="90">
        <f t="shared" si="282"/>
        <v>1</v>
      </c>
      <c r="Q724" s="51"/>
      <c r="T724" s="53">
        <v>21.01</v>
      </c>
    </row>
    <row r="725" spans="1:20" s="56" customFormat="1" ht="24" x14ac:dyDescent="0.2">
      <c r="A725" s="73" t="s">
        <v>308</v>
      </c>
      <c r="B725" s="73" t="s">
        <v>1136</v>
      </c>
      <c r="C725" s="74" t="s">
        <v>1137</v>
      </c>
      <c r="D725" s="73" t="s">
        <v>102</v>
      </c>
      <c r="E725" s="75">
        <v>1</v>
      </c>
      <c r="F725" s="75">
        <f t="shared" si="275"/>
        <v>64.55</v>
      </c>
      <c r="G725" s="75">
        <f t="shared" si="276"/>
        <v>82.36</v>
      </c>
      <c r="H725" s="76">
        <f t="shared" si="277"/>
        <v>82.36</v>
      </c>
      <c r="I725" s="75">
        <v>1</v>
      </c>
      <c r="J725" s="75">
        <f t="shared" si="283"/>
        <v>1</v>
      </c>
      <c r="K725" s="75">
        <f t="shared" si="272"/>
        <v>0</v>
      </c>
      <c r="L725" s="76">
        <f t="shared" si="278"/>
        <v>64.55</v>
      </c>
      <c r="M725" s="76">
        <f t="shared" si="279"/>
        <v>82.36</v>
      </c>
      <c r="N725" s="76">
        <f t="shared" si="280"/>
        <v>82.36</v>
      </c>
      <c r="O725" s="76">
        <f t="shared" si="281"/>
        <v>0</v>
      </c>
      <c r="P725" s="90">
        <f t="shared" si="282"/>
        <v>1</v>
      </c>
      <c r="Q725" s="51"/>
      <c r="T725" s="53">
        <v>64.55</v>
      </c>
    </row>
    <row r="726" spans="1:20" s="56" customFormat="1" ht="12" x14ac:dyDescent="0.2">
      <c r="A726" s="73" t="s">
        <v>308</v>
      </c>
      <c r="B726" s="73" t="s">
        <v>1138</v>
      </c>
      <c r="C726" s="74" t="s">
        <v>1139</v>
      </c>
      <c r="D726" s="73" t="s">
        <v>102</v>
      </c>
      <c r="E726" s="75">
        <v>2</v>
      </c>
      <c r="F726" s="75">
        <f t="shared" si="275"/>
        <v>46.92</v>
      </c>
      <c r="G726" s="75">
        <f t="shared" si="276"/>
        <v>59.87</v>
      </c>
      <c r="H726" s="76">
        <f t="shared" si="277"/>
        <v>119.74</v>
      </c>
      <c r="I726" s="75">
        <v>2</v>
      </c>
      <c r="J726" s="75">
        <f t="shared" si="283"/>
        <v>2</v>
      </c>
      <c r="K726" s="75">
        <f t="shared" si="272"/>
        <v>0</v>
      </c>
      <c r="L726" s="76">
        <f t="shared" si="278"/>
        <v>93.84</v>
      </c>
      <c r="M726" s="76">
        <f t="shared" si="279"/>
        <v>119.74</v>
      </c>
      <c r="N726" s="76">
        <f t="shared" si="280"/>
        <v>119.74</v>
      </c>
      <c r="O726" s="76">
        <f t="shared" si="281"/>
        <v>0</v>
      </c>
      <c r="P726" s="90">
        <f t="shared" si="282"/>
        <v>1</v>
      </c>
      <c r="Q726" s="51"/>
      <c r="T726" s="53">
        <v>46.92</v>
      </c>
    </row>
    <row r="727" spans="1:20" s="56" customFormat="1" ht="12" x14ac:dyDescent="0.2">
      <c r="A727" s="73" t="s">
        <v>308</v>
      </c>
      <c r="B727" s="73" t="s">
        <v>1140</v>
      </c>
      <c r="C727" s="74" t="s">
        <v>1141</v>
      </c>
      <c r="D727" s="73" t="s">
        <v>102</v>
      </c>
      <c r="E727" s="75">
        <v>2</v>
      </c>
      <c r="F727" s="75">
        <f t="shared" si="275"/>
        <v>63.34</v>
      </c>
      <c r="G727" s="75">
        <f t="shared" si="276"/>
        <v>80.819999999999993</v>
      </c>
      <c r="H727" s="76">
        <f t="shared" si="277"/>
        <v>161.63999999999999</v>
      </c>
      <c r="I727" s="75">
        <v>2</v>
      </c>
      <c r="J727" s="75">
        <f t="shared" si="283"/>
        <v>2</v>
      </c>
      <c r="K727" s="75">
        <f t="shared" si="272"/>
        <v>0</v>
      </c>
      <c r="L727" s="76">
        <f t="shared" si="278"/>
        <v>126.68</v>
      </c>
      <c r="M727" s="76">
        <f t="shared" si="279"/>
        <v>161.63999999999999</v>
      </c>
      <c r="N727" s="76">
        <f t="shared" si="280"/>
        <v>161.63999999999999</v>
      </c>
      <c r="O727" s="76">
        <f t="shared" si="281"/>
        <v>0</v>
      </c>
      <c r="P727" s="90">
        <f t="shared" si="282"/>
        <v>1</v>
      </c>
      <c r="Q727" s="51"/>
      <c r="T727" s="53">
        <v>63.34</v>
      </c>
    </row>
    <row r="728" spans="1:20" s="56" customFormat="1" ht="12" x14ac:dyDescent="0.2">
      <c r="A728" s="73" t="s">
        <v>308</v>
      </c>
      <c r="B728" s="73" t="s">
        <v>1142</v>
      </c>
      <c r="C728" s="74" t="s">
        <v>1143</v>
      </c>
      <c r="D728" s="73" t="s">
        <v>102</v>
      </c>
      <c r="E728" s="75">
        <v>1</v>
      </c>
      <c r="F728" s="75">
        <f t="shared" si="275"/>
        <v>112.15</v>
      </c>
      <c r="G728" s="75">
        <f t="shared" si="276"/>
        <v>143.09</v>
      </c>
      <c r="H728" s="76">
        <f t="shared" si="277"/>
        <v>143.09</v>
      </c>
      <c r="I728" s="75">
        <v>1</v>
      </c>
      <c r="J728" s="75">
        <f t="shared" si="283"/>
        <v>1</v>
      </c>
      <c r="K728" s="75">
        <f t="shared" si="272"/>
        <v>0</v>
      </c>
      <c r="L728" s="76">
        <f t="shared" si="278"/>
        <v>112.15</v>
      </c>
      <c r="M728" s="76">
        <f t="shared" si="279"/>
        <v>143.09</v>
      </c>
      <c r="N728" s="76">
        <f t="shared" si="280"/>
        <v>143.09</v>
      </c>
      <c r="O728" s="76">
        <f t="shared" si="281"/>
        <v>0</v>
      </c>
      <c r="P728" s="90">
        <f t="shared" si="282"/>
        <v>1</v>
      </c>
      <c r="Q728" s="51"/>
      <c r="T728" s="53">
        <v>112.15</v>
      </c>
    </row>
    <row r="729" spans="1:20" s="56" customFormat="1" ht="12" x14ac:dyDescent="0.2">
      <c r="A729" s="72"/>
      <c r="B729" s="81">
        <v>44959</v>
      </c>
      <c r="C729" s="71" t="s">
        <v>1144</v>
      </c>
      <c r="D729" s="72"/>
      <c r="E729" s="72"/>
      <c r="F729" s="75"/>
      <c r="G729" s="72"/>
      <c r="H729" s="75"/>
      <c r="I729" s="72"/>
      <c r="J729" s="75">
        <f t="shared" si="283"/>
        <v>0</v>
      </c>
      <c r="K729" s="75"/>
      <c r="L729" s="72"/>
      <c r="M729" s="75"/>
      <c r="N729" s="75"/>
      <c r="O729" s="75"/>
      <c r="P729" s="90"/>
      <c r="Q729" s="53"/>
      <c r="T729" s="52"/>
    </row>
    <row r="730" spans="1:20" s="56" customFormat="1" ht="24" x14ac:dyDescent="0.2">
      <c r="A730" s="73" t="s">
        <v>308</v>
      </c>
      <c r="B730" s="73" t="s">
        <v>1145</v>
      </c>
      <c r="C730" s="74" t="s">
        <v>1146</v>
      </c>
      <c r="D730" s="73" t="s">
        <v>102</v>
      </c>
      <c r="E730" s="75">
        <v>1</v>
      </c>
      <c r="F730" s="75">
        <f>ROUND(T730*$T$10,2)</f>
        <v>649.99</v>
      </c>
      <c r="G730" s="75">
        <f t="shared" ref="G730:G735" si="284">ROUND(F730*(1+$U$1),2)</f>
        <v>829.32</v>
      </c>
      <c r="H730" s="76">
        <f t="shared" ref="H730:H735" si="285">ROUND(E730*G730,2)</f>
        <v>829.32</v>
      </c>
      <c r="I730" s="75">
        <v>1</v>
      </c>
      <c r="J730" s="75">
        <f t="shared" si="283"/>
        <v>1</v>
      </c>
      <c r="K730" s="75">
        <f t="shared" si="272"/>
        <v>0</v>
      </c>
      <c r="L730" s="76">
        <f t="shared" ref="L730:L735" si="286">ROUND(E730*F730,2)</f>
        <v>649.99</v>
      </c>
      <c r="M730" s="76">
        <f>I730*G730</f>
        <v>829.32</v>
      </c>
      <c r="N730" s="76">
        <f>J730*G730</f>
        <v>829.32</v>
      </c>
      <c r="O730" s="76">
        <f>H730-N730</f>
        <v>0</v>
      </c>
      <c r="P730" s="90">
        <f t="shared" si="282"/>
        <v>1</v>
      </c>
      <c r="Q730" s="51"/>
      <c r="T730" s="53">
        <v>649.99</v>
      </c>
    </row>
    <row r="731" spans="1:20" s="56" customFormat="1" ht="12" x14ac:dyDescent="0.2">
      <c r="A731" s="72"/>
      <c r="B731" s="81">
        <v>44960</v>
      </c>
      <c r="C731" s="71" t="s">
        <v>684</v>
      </c>
      <c r="D731" s="72"/>
      <c r="E731" s="72"/>
      <c r="F731" s="75"/>
      <c r="G731" s="75">
        <f t="shared" si="284"/>
        <v>0</v>
      </c>
      <c r="H731" s="76">
        <f t="shared" si="285"/>
        <v>0</v>
      </c>
      <c r="I731" s="72"/>
      <c r="J731" s="75">
        <f t="shared" si="283"/>
        <v>0</v>
      </c>
      <c r="K731" s="75"/>
      <c r="L731" s="76"/>
      <c r="M731" s="76"/>
      <c r="N731" s="76"/>
      <c r="O731" s="76"/>
      <c r="P731" s="90"/>
      <c r="Q731" s="51"/>
      <c r="T731" s="52"/>
    </row>
    <row r="732" spans="1:20" s="56" customFormat="1" ht="24" x14ac:dyDescent="0.2">
      <c r="A732" s="73" t="s">
        <v>308</v>
      </c>
      <c r="B732" s="73" t="s">
        <v>1147</v>
      </c>
      <c r="C732" s="74" t="s">
        <v>1148</v>
      </c>
      <c r="D732" s="73" t="s">
        <v>102</v>
      </c>
      <c r="E732" s="75">
        <v>3</v>
      </c>
      <c r="F732" s="75">
        <f>ROUND(T732*$T$10,2)</f>
        <v>33.46</v>
      </c>
      <c r="G732" s="75">
        <f t="shared" si="284"/>
        <v>42.69</v>
      </c>
      <c r="H732" s="76">
        <f t="shared" si="285"/>
        <v>128.07</v>
      </c>
      <c r="I732" s="75">
        <v>3</v>
      </c>
      <c r="J732" s="75">
        <f t="shared" si="283"/>
        <v>3</v>
      </c>
      <c r="K732" s="75">
        <f t="shared" si="272"/>
        <v>0</v>
      </c>
      <c r="L732" s="76">
        <f t="shared" si="286"/>
        <v>100.38</v>
      </c>
      <c r="M732" s="76">
        <f>I732*G732</f>
        <v>128.07</v>
      </c>
      <c r="N732" s="76">
        <f>J732*G732</f>
        <v>128.07</v>
      </c>
      <c r="O732" s="76">
        <f>H732-N732</f>
        <v>0</v>
      </c>
      <c r="P732" s="90">
        <f t="shared" si="282"/>
        <v>1</v>
      </c>
      <c r="Q732" s="51"/>
      <c r="T732" s="53">
        <v>33.46</v>
      </c>
    </row>
    <row r="733" spans="1:20" s="56" customFormat="1" ht="24" x14ac:dyDescent="0.2">
      <c r="A733" s="73" t="s">
        <v>308</v>
      </c>
      <c r="B733" s="73" t="s">
        <v>1149</v>
      </c>
      <c r="C733" s="74" t="s">
        <v>1150</v>
      </c>
      <c r="D733" s="73" t="s">
        <v>102</v>
      </c>
      <c r="E733" s="75">
        <v>3</v>
      </c>
      <c r="F733" s="75">
        <f>ROUND(T733*$T$10,2)</f>
        <v>21.01</v>
      </c>
      <c r="G733" s="75">
        <f t="shared" si="284"/>
        <v>26.81</v>
      </c>
      <c r="H733" s="76">
        <f t="shared" si="285"/>
        <v>80.430000000000007</v>
      </c>
      <c r="I733" s="75">
        <v>3</v>
      </c>
      <c r="J733" s="75">
        <f t="shared" si="283"/>
        <v>3</v>
      </c>
      <c r="K733" s="75">
        <f t="shared" si="272"/>
        <v>0</v>
      </c>
      <c r="L733" s="76">
        <f t="shared" si="286"/>
        <v>63.03</v>
      </c>
      <c r="M733" s="76">
        <f>I733*G733</f>
        <v>80.429999999999993</v>
      </c>
      <c r="N733" s="76">
        <f>J733*G733</f>
        <v>80.429999999999993</v>
      </c>
      <c r="O733" s="76">
        <f>H733-N733</f>
        <v>0</v>
      </c>
      <c r="P733" s="90">
        <f t="shared" si="282"/>
        <v>0.99999999999999978</v>
      </c>
      <c r="Q733" s="51"/>
      <c r="T733" s="53">
        <v>21.01</v>
      </c>
    </row>
    <row r="734" spans="1:20" s="56" customFormat="1" ht="24" x14ac:dyDescent="0.2">
      <c r="A734" s="73" t="s">
        <v>308</v>
      </c>
      <c r="B734" s="73" t="s">
        <v>1151</v>
      </c>
      <c r="C734" s="74" t="s">
        <v>1152</v>
      </c>
      <c r="D734" s="73" t="s">
        <v>102</v>
      </c>
      <c r="E734" s="75">
        <v>2</v>
      </c>
      <c r="F734" s="75">
        <f>ROUND(T734*$T$10,2)</f>
        <v>33.46</v>
      </c>
      <c r="G734" s="75">
        <f t="shared" si="284"/>
        <v>42.69</v>
      </c>
      <c r="H734" s="76">
        <f t="shared" si="285"/>
        <v>85.38</v>
      </c>
      <c r="I734" s="75">
        <v>2</v>
      </c>
      <c r="J734" s="75">
        <f t="shared" si="283"/>
        <v>2</v>
      </c>
      <c r="K734" s="75">
        <f t="shared" si="272"/>
        <v>0</v>
      </c>
      <c r="L734" s="76">
        <f t="shared" si="286"/>
        <v>66.92</v>
      </c>
      <c r="M734" s="76">
        <f>I734*G734</f>
        <v>85.38</v>
      </c>
      <c r="N734" s="76">
        <f>J734*G734</f>
        <v>85.38</v>
      </c>
      <c r="O734" s="76">
        <f>H734-N734</f>
        <v>0</v>
      </c>
      <c r="P734" s="90">
        <f t="shared" si="282"/>
        <v>1</v>
      </c>
      <c r="Q734" s="51"/>
      <c r="T734" s="53">
        <v>33.46</v>
      </c>
    </row>
    <row r="735" spans="1:20" s="56" customFormat="1" ht="12" x14ac:dyDescent="0.2">
      <c r="A735" s="73" t="s">
        <v>308</v>
      </c>
      <c r="B735" s="73" t="s">
        <v>1153</v>
      </c>
      <c r="C735" s="74" t="s">
        <v>1154</v>
      </c>
      <c r="D735" s="73" t="s">
        <v>81</v>
      </c>
      <c r="E735" s="75">
        <v>3</v>
      </c>
      <c r="F735" s="75">
        <f>ROUND(T735*$T$10,2)</f>
        <v>9.4</v>
      </c>
      <c r="G735" s="75">
        <f t="shared" si="284"/>
        <v>11.99</v>
      </c>
      <c r="H735" s="76">
        <f t="shared" si="285"/>
        <v>35.97</v>
      </c>
      <c r="I735" s="75">
        <v>3</v>
      </c>
      <c r="J735" s="75">
        <f t="shared" si="283"/>
        <v>3</v>
      </c>
      <c r="K735" s="75">
        <f t="shared" si="272"/>
        <v>0</v>
      </c>
      <c r="L735" s="76">
        <f t="shared" si="286"/>
        <v>28.2</v>
      </c>
      <c r="M735" s="76">
        <f>I735*G735</f>
        <v>35.97</v>
      </c>
      <c r="N735" s="76">
        <f>J735*G735</f>
        <v>35.97</v>
      </c>
      <c r="O735" s="76">
        <f>H735-N735</f>
        <v>0</v>
      </c>
      <c r="P735" s="90">
        <f t="shared" si="282"/>
        <v>1</v>
      </c>
      <c r="Q735" s="51"/>
      <c r="T735" s="53">
        <v>9.4</v>
      </c>
    </row>
    <row r="736" spans="1:20" s="56" customFormat="1" ht="12" x14ac:dyDescent="0.2">
      <c r="A736" s="72"/>
      <c r="B736" s="71"/>
      <c r="C736" s="71"/>
      <c r="D736" s="71"/>
      <c r="E736" s="71"/>
      <c r="F736" s="75"/>
      <c r="G736" s="77" t="s">
        <v>1155</v>
      </c>
      <c r="H736" s="78">
        <f>SUM(H723:H735)</f>
        <v>2250.64</v>
      </c>
      <c r="I736" s="71"/>
      <c r="J736" s="75">
        <v>0</v>
      </c>
      <c r="K736" s="75">
        <f t="shared" si="272"/>
        <v>0</v>
      </c>
      <c r="L736" s="78">
        <f>SUM(L723:L735)</f>
        <v>1763.9</v>
      </c>
      <c r="M736" s="78">
        <f>SUM(M723:M735)</f>
        <v>2250.64</v>
      </c>
      <c r="N736" s="78">
        <f>SUM(N723:N735)</f>
        <v>2250.64</v>
      </c>
      <c r="O736" s="78">
        <f>SUM(O723:O735)</f>
        <v>0</v>
      </c>
      <c r="P736" s="91">
        <f>N736/H736</f>
        <v>1</v>
      </c>
      <c r="Q736" s="60"/>
      <c r="T736" s="59"/>
    </row>
    <row r="737" spans="1:20" s="56" customFormat="1" ht="12" x14ac:dyDescent="0.2">
      <c r="A737" s="72"/>
      <c r="B737" s="71"/>
      <c r="C737" s="71"/>
      <c r="D737" s="71"/>
      <c r="E737" s="71"/>
      <c r="F737" s="75"/>
      <c r="G737" s="77" t="s">
        <v>1156</v>
      </c>
      <c r="H737" s="78">
        <f>SUM(H720,H736)</f>
        <v>3595.58</v>
      </c>
      <c r="I737" s="71"/>
      <c r="J737" s="75">
        <v>0</v>
      </c>
      <c r="K737" s="75">
        <f t="shared" si="272"/>
        <v>0</v>
      </c>
      <c r="L737" s="78">
        <f>SUM(L720,L736)</f>
        <v>2818.01</v>
      </c>
      <c r="M737" s="78">
        <f>SUM(M720,M736)</f>
        <v>2250.64</v>
      </c>
      <c r="N737" s="78">
        <f>SUM(N720,N736)</f>
        <v>2250.64</v>
      </c>
      <c r="O737" s="78">
        <f>SUM(O720,O736)</f>
        <v>1344.94</v>
      </c>
      <c r="P737" s="91">
        <f>N737/H737</f>
        <v>0.62594630073590352</v>
      </c>
      <c r="Q737" s="60"/>
      <c r="T737" s="59"/>
    </row>
    <row r="738" spans="1:20" s="56" customFormat="1" ht="12" x14ac:dyDescent="0.2">
      <c r="A738" s="72"/>
      <c r="B738" s="70" t="s">
        <v>1157</v>
      </c>
      <c r="C738" s="71" t="s">
        <v>1158</v>
      </c>
      <c r="D738" s="72"/>
      <c r="E738" s="72"/>
      <c r="F738" s="75"/>
      <c r="G738" s="72"/>
      <c r="H738" s="72"/>
      <c r="I738" s="72"/>
      <c r="J738" s="75">
        <v>0</v>
      </c>
      <c r="K738" s="75">
        <f t="shared" si="272"/>
        <v>0</v>
      </c>
      <c r="L738" s="72"/>
      <c r="M738" s="72"/>
      <c r="N738" s="72"/>
      <c r="O738" s="72"/>
      <c r="P738" s="72"/>
      <c r="Q738" s="52"/>
      <c r="T738" s="52"/>
    </row>
    <row r="739" spans="1:20" s="56" customFormat="1" ht="24" x14ac:dyDescent="0.2">
      <c r="A739" s="72"/>
      <c r="B739" s="70" t="s">
        <v>1159</v>
      </c>
      <c r="C739" s="71" t="s">
        <v>1160</v>
      </c>
      <c r="D739" s="71"/>
      <c r="E739" s="71"/>
      <c r="F739" s="75"/>
      <c r="G739" s="71"/>
      <c r="H739" s="72"/>
      <c r="I739" s="71"/>
      <c r="J739" s="75">
        <v>0</v>
      </c>
      <c r="K739" s="75"/>
      <c r="L739" s="71"/>
      <c r="M739" s="72"/>
      <c r="N739" s="72"/>
      <c r="O739" s="72"/>
      <c r="P739" s="72"/>
      <c r="Q739" s="52"/>
      <c r="T739" s="59"/>
    </row>
    <row r="740" spans="1:20" s="56" customFormat="1" ht="12" x14ac:dyDescent="0.2">
      <c r="A740" s="72"/>
      <c r="B740" s="81">
        <v>45292</v>
      </c>
      <c r="C740" s="71" t="s">
        <v>626</v>
      </c>
      <c r="D740" s="71"/>
      <c r="E740" s="71"/>
      <c r="F740" s="75"/>
      <c r="G740" s="71"/>
      <c r="H740" s="72"/>
      <c r="I740" s="71"/>
      <c r="J740" s="75">
        <v>0</v>
      </c>
      <c r="K740" s="75"/>
      <c r="L740" s="71"/>
      <c r="M740" s="72"/>
      <c r="N740" s="72"/>
      <c r="O740" s="72"/>
      <c r="P740" s="72"/>
      <c r="Q740" s="52"/>
      <c r="T740" s="59"/>
    </row>
    <row r="741" spans="1:20" s="56" customFormat="1" ht="12" x14ac:dyDescent="0.2">
      <c r="A741" s="94">
        <v>92690</v>
      </c>
      <c r="B741" s="73" t="s">
        <v>1161</v>
      </c>
      <c r="C741" s="74" t="s">
        <v>1162</v>
      </c>
      <c r="D741" s="73" t="s">
        <v>81</v>
      </c>
      <c r="E741" s="75">
        <v>18</v>
      </c>
      <c r="F741" s="75">
        <f>ROUND(T741*$T$10,2)</f>
        <v>35.74</v>
      </c>
      <c r="G741" s="75">
        <f>ROUND(F741*(1+$U$1),2)</f>
        <v>45.6</v>
      </c>
      <c r="H741" s="76">
        <f>ROUND(E741*G741,2)</f>
        <v>820.8</v>
      </c>
      <c r="I741" s="75"/>
      <c r="J741" s="75">
        <v>18</v>
      </c>
      <c r="K741" s="75">
        <f t="shared" si="272"/>
        <v>0</v>
      </c>
      <c r="L741" s="76">
        <f>ROUND(E741*F741,2)</f>
        <v>643.32000000000005</v>
      </c>
      <c r="M741" s="76">
        <f t="shared" ref="M741:M774" si="287">I741*G741</f>
        <v>0</v>
      </c>
      <c r="N741" s="76">
        <f t="shared" ref="N741:N774" si="288">J741*G741</f>
        <v>820.80000000000007</v>
      </c>
      <c r="O741" s="76">
        <f t="shared" ref="O741:O774" si="289">H741-N741</f>
        <v>0</v>
      </c>
      <c r="P741" s="90">
        <f t="shared" ref="P741:P774" si="290">N741/H741</f>
        <v>1.0000000000000002</v>
      </c>
      <c r="Q741" s="51"/>
      <c r="T741" s="53">
        <v>35.74</v>
      </c>
    </row>
    <row r="742" spans="1:20" s="56" customFormat="1" ht="12" x14ac:dyDescent="0.2">
      <c r="A742" s="94">
        <v>92689</v>
      </c>
      <c r="B742" s="73" t="s">
        <v>1163</v>
      </c>
      <c r="C742" s="74" t="s">
        <v>1164</v>
      </c>
      <c r="D742" s="73" t="s">
        <v>81</v>
      </c>
      <c r="E742" s="75">
        <v>18</v>
      </c>
      <c r="F742" s="75">
        <f>ROUND(T742*$T$10,2)</f>
        <v>24.41</v>
      </c>
      <c r="G742" s="75">
        <f>ROUND(F742*(1+$U$1),2)</f>
        <v>31.14</v>
      </c>
      <c r="H742" s="76">
        <f>ROUND(E742*G742,2)</f>
        <v>560.52</v>
      </c>
      <c r="I742" s="75"/>
      <c r="J742" s="75">
        <v>18</v>
      </c>
      <c r="K742" s="75">
        <f t="shared" si="272"/>
        <v>0</v>
      </c>
      <c r="L742" s="76">
        <f>ROUND(E742*F742,2)</f>
        <v>439.38</v>
      </c>
      <c r="M742" s="76">
        <f t="shared" si="287"/>
        <v>0</v>
      </c>
      <c r="N742" s="76">
        <f t="shared" si="288"/>
        <v>560.52</v>
      </c>
      <c r="O742" s="76">
        <f t="shared" si="289"/>
        <v>0</v>
      </c>
      <c r="P742" s="90">
        <f t="shared" si="290"/>
        <v>1</v>
      </c>
      <c r="Q742" s="51"/>
      <c r="T742" s="53">
        <v>24.41</v>
      </c>
    </row>
    <row r="743" spans="1:20" s="56" customFormat="1" ht="12" x14ac:dyDescent="0.2">
      <c r="A743" s="72"/>
      <c r="B743" s="81">
        <v>45293</v>
      </c>
      <c r="C743" s="71" t="s">
        <v>450</v>
      </c>
      <c r="D743" s="72"/>
      <c r="E743" s="72"/>
      <c r="F743" s="75"/>
      <c r="G743" s="72"/>
      <c r="H743" s="72"/>
      <c r="I743" s="72"/>
      <c r="J743" s="75"/>
      <c r="K743" s="75"/>
      <c r="L743" s="72"/>
      <c r="M743" s="76"/>
      <c r="N743" s="76"/>
      <c r="O743" s="76"/>
      <c r="P743" s="90"/>
      <c r="Q743" s="52"/>
      <c r="T743" s="52"/>
    </row>
    <row r="744" spans="1:20" s="56" customFormat="1" ht="12" x14ac:dyDescent="0.2">
      <c r="A744" s="73" t="s">
        <v>308</v>
      </c>
      <c r="B744" s="73" t="s">
        <v>1165</v>
      </c>
      <c r="C744" s="74" t="s">
        <v>1166</v>
      </c>
      <c r="D744" s="73" t="s">
        <v>102</v>
      </c>
      <c r="E744" s="75">
        <v>2</v>
      </c>
      <c r="F744" s="75">
        <f>ROUND(T744*$T$10,2)</f>
        <v>18.7</v>
      </c>
      <c r="G744" s="75">
        <f>ROUND(F744*(1+$U$1),2)</f>
        <v>23.86</v>
      </c>
      <c r="H744" s="76">
        <f>ROUND(E744*G744,2)</f>
        <v>47.72</v>
      </c>
      <c r="I744" s="75"/>
      <c r="J744" s="75">
        <v>2</v>
      </c>
      <c r="K744" s="75">
        <f t="shared" si="272"/>
        <v>0</v>
      </c>
      <c r="L744" s="76">
        <f>ROUND(E744*F744,2)</f>
        <v>37.4</v>
      </c>
      <c r="M744" s="76">
        <f t="shared" si="287"/>
        <v>0</v>
      </c>
      <c r="N744" s="76">
        <f t="shared" si="288"/>
        <v>47.72</v>
      </c>
      <c r="O744" s="76">
        <f t="shared" si="289"/>
        <v>0</v>
      </c>
      <c r="P744" s="90">
        <f t="shared" si="290"/>
        <v>1</v>
      </c>
      <c r="Q744" s="51"/>
      <c r="T744" s="53">
        <v>18.7</v>
      </c>
    </row>
    <row r="745" spans="1:20" s="56" customFormat="1" ht="12" x14ac:dyDescent="0.2">
      <c r="A745" s="72"/>
      <c r="B745" s="81">
        <v>45294</v>
      </c>
      <c r="C745" s="71" t="s">
        <v>750</v>
      </c>
      <c r="D745" s="72"/>
      <c r="E745" s="72"/>
      <c r="F745" s="75"/>
      <c r="G745" s="75"/>
      <c r="H745" s="72"/>
      <c r="I745" s="72"/>
      <c r="J745" s="75"/>
      <c r="K745" s="75"/>
      <c r="L745" s="75"/>
      <c r="M745" s="76"/>
      <c r="N745" s="76"/>
      <c r="O745" s="76"/>
      <c r="P745" s="90"/>
      <c r="Q745" s="52"/>
      <c r="T745" s="52"/>
    </row>
    <row r="746" spans="1:20" s="56" customFormat="1" ht="24" x14ac:dyDescent="0.2">
      <c r="A746" s="73" t="s">
        <v>308</v>
      </c>
      <c r="B746" s="73" t="s">
        <v>1167</v>
      </c>
      <c r="C746" s="74" t="s">
        <v>1168</v>
      </c>
      <c r="D746" s="73" t="s">
        <v>102</v>
      </c>
      <c r="E746" s="75">
        <v>3</v>
      </c>
      <c r="F746" s="75">
        <f>ROUND(T746*$T$10,2)</f>
        <v>14.45</v>
      </c>
      <c r="G746" s="75">
        <f>ROUND(F746*(1+$U$1),2)</f>
        <v>18.440000000000001</v>
      </c>
      <c r="H746" s="76">
        <f>ROUND(E746*G746,2)</f>
        <v>55.32</v>
      </c>
      <c r="I746" s="75"/>
      <c r="J746" s="75">
        <v>3</v>
      </c>
      <c r="K746" s="75">
        <f t="shared" si="272"/>
        <v>0</v>
      </c>
      <c r="L746" s="76">
        <f>ROUND(E746*F746,2)</f>
        <v>43.35</v>
      </c>
      <c r="M746" s="76">
        <f t="shared" si="287"/>
        <v>0</v>
      </c>
      <c r="N746" s="76">
        <f t="shared" si="288"/>
        <v>55.320000000000007</v>
      </c>
      <c r="O746" s="76">
        <f t="shared" si="289"/>
        <v>0</v>
      </c>
      <c r="P746" s="90">
        <f t="shared" si="290"/>
        <v>1.0000000000000002</v>
      </c>
      <c r="Q746" s="51"/>
      <c r="T746" s="53">
        <v>14.45</v>
      </c>
    </row>
    <row r="747" spans="1:20" s="56" customFormat="1" ht="24" x14ac:dyDescent="0.2">
      <c r="A747" s="73" t="s">
        <v>308</v>
      </c>
      <c r="B747" s="73" t="s">
        <v>1169</v>
      </c>
      <c r="C747" s="74" t="s">
        <v>1170</v>
      </c>
      <c r="D747" s="73" t="s">
        <v>102</v>
      </c>
      <c r="E747" s="75">
        <v>3</v>
      </c>
      <c r="F747" s="75">
        <f>ROUND(T747*$T$10,2)</f>
        <v>11.87</v>
      </c>
      <c r="G747" s="75">
        <f>ROUND(F747*(1+$U$1),2)</f>
        <v>15.14</v>
      </c>
      <c r="H747" s="76">
        <f>ROUND(E747*G747,2)</f>
        <v>45.42</v>
      </c>
      <c r="I747" s="75"/>
      <c r="J747" s="75">
        <v>3</v>
      </c>
      <c r="K747" s="75">
        <f t="shared" si="272"/>
        <v>0</v>
      </c>
      <c r="L747" s="76">
        <f>ROUND(E747*F747,2)</f>
        <v>35.61</v>
      </c>
      <c r="M747" s="76">
        <f t="shared" si="287"/>
        <v>0</v>
      </c>
      <c r="N747" s="76">
        <f t="shared" si="288"/>
        <v>45.42</v>
      </c>
      <c r="O747" s="76">
        <f t="shared" si="289"/>
        <v>0</v>
      </c>
      <c r="P747" s="90">
        <f t="shared" si="290"/>
        <v>1</v>
      </c>
      <c r="Q747" s="51"/>
      <c r="T747" s="53">
        <v>11.87</v>
      </c>
    </row>
    <row r="748" spans="1:20" s="56" customFormat="1" ht="12" x14ac:dyDescent="0.2">
      <c r="A748" s="72"/>
      <c r="B748" s="81">
        <v>45295</v>
      </c>
      <c r="C748" s="71" t="s">
        <v>652</v>
      </c>
      <c r="D748" s="72"/>
      <c r="E748" s="72"/>
      <c r="F748" s="75"/>
      <c r="G748" s="72"/>
      <c r="H748" s="72"/>
      <c r="I748" s="72"/>
      <c r="J748" s="75"/>
      <c r="K748" s="75"/>
      <c r="L748" s="72"/>
      <c r="M748" s="76"/>
      <c r="N748" s="76"/>
      <c r="O748" s="76"/>
      <c r="P748" s="90"/>
      <c r="Q748" s="52"/>
      <c r="T748" s="52"/>
    </row>
    <row r="749" spans="1:20" s="56" customFormat="1" ht="12" x14ac:dyDescent="0.2">
      <c r="A749" s="73" t="s">
        <v>308</v>
      </c>
      <c r="B749" s="73" t="s">
        <v>1171</v>
      </c>
      <c r="C749" s="74" t="s">
        <v>1172</v>
      </c>
      <c r="D749" s="73" t="s">
        <v>102</v>
      </c>
      <c r="E749" s="75">
        <v>8</v>
      </c>
      <c r="F749" s="75">
        <f>ROUND(T749*$T$10,2)</f>
        <v>15.21</v>
      </c>
      <c r="G749" s="75">
        <f>ROUND(F749*(1+$U$1),2)</f>
        <v>19.41</v>
      </c>
      <c r="H749" s="76">
        <f>ROUND(E749*G749,2)</f>
        <v>155.28</v>
      </c>
      <c r="I749" s="75"/>
      <c r="J749" s="75">
        <v>8</v>
      </c>
      <c r="K749" s="75">
        <f t="shared" si="272"/>
        <v>0</v>
      </c>
      <c r="L749" s="76">
        <f>ROUND(E749*F749,2)</f>
        <v>121.68</v>
      </c>
      <c r="M749" s="76">
        <f t="shared" si="287"/>
        <v>0</v>
      </c>
      <c r="N749" s="76">
        <f t="shared" si="288"/>
        <v>155.28</v>
      </c>
      <c r="O749" s="76">
        <f t="shared" si="289"/>
        <v>0</v>
      </c>
      <c r="P749" s="90">
        <f t="shared" si="290"/>
        <v>1</v>
      </c>
      <c r="Q749" s="51"/>
      <c r="T749" s="53">
        <v>15.21</v>
      </c>
    </row>
    <row r="750" spans="1:20" s="56" customFormat="1" ht="12" x14ac:dyDescent="0.2">
      <c r="A750" s="73" t="s">
        <v>308</v>
      </c>
      <c r="B750" s="73" t="s">
        <v>1173</v>
      </c>
      <c r="C750" s="74" t="s">
        <v>1174</v>
      </c>
      <c r="D750" s="73" t="s">
        <v>102</v>
      </c>
      <c r="E750" s="75">
        <v>2</v>
      </c>
      <c r="F750" s="75">
        <f>ROUND(T750*$T$10,2)</f>
        <v>15.21</v>
      </c>
      <c r="G750" s="75">
        <f>ROUND(F750*(1+$U$1),2)</f>
        <v>19.41</v>
      </c>
      <c r="H750" s="76">
        <f>ROUND(E750*G750,2)</f>
        <v>38.82</v>
      </c>
      <c r="I750" s="75"/>
      <c r="J750" s="75">
        <v>2</v>
      </c>
      <c r="K750" s="75">
        <f t="shared" si="272"/>
        <v>0</v>
      </c>
      <c r="L750" s="76">
        <f>ROUND(E750*F750,2)</f>
        <v>30.42</v>
      </c>
      <c r="M750" s="76">
        <f t="shared" si="287"/>
        <v>0</v>
      </c>
      <c r="N750" s="76">
        <f t="shared" si="288"/>
        <v>38.82</v>
      </c>
      <c r="O750" s="76">
        <f t="shared" si="289"/>
        <v>0</v>
      </c>
      <c r="P750" s="90">
        <f t="shared" si="290"/>
        <v>1</v>
      </c>
      <c r="Q750" s="51"/>
      <c r="T750" s="53">
        <v>15.21</v>
      </c>
    </row>
    <row r="751" spans="1:20" s="56" customFormat="1" ht="12" x14ac:dyDescent="0.2">
      <c r="A751" s="72"/>
      <c r="B751" s="81">
        <v>45296</v>
      </c>
      <c r="C751" s="71" t="s">
        <v>1177</v>
      </c>
      <c r="D751" s="72"/>
      <c r="E751" s="72"/>
      <c r="F751" s="75"/>
      <c r="G751" s="72"/>
      <c r="H751" s="72"/>
      <c r="I751" s="72"/>
      <c r="J751" s="75"/>
      <c r="K751" s="75"/>
      <c r="L751" s="72"/>
      <c r="M751" s="76"/>
      <c r="N751" s="76"/>
      <c r="O751" s="76"/>
      <c r="P751" s="90"/>
      <c r="Q751" s="52"/>
      <c r="T751" s="52"/>
    </row>
    <row r="752" spans="1:20" s="56" customFormat="1" ht="24" x14ac:dyDescent="0.2">
      <c r="A752" s="73" t="s">
        <v>308</v>
      </c>
      <c r="B752" s="73" t="s">
        <v>1178</v>
      </c>
      <c r="C752" s="74" t="s">
        <v>1179</v>
      </c>
      <c r="D752" s="73" t="s">
        <v>102</v>
      </c>
      <c r="E752" s="75">
        <v>2</v>
      </c>
      <c r="F752" s="75">
        <f>ROUND(T752*$T$10,2)</f>
        <v>20.8</v>
      </c>
      <c r="G752" s="75">
        <f>ROUND(F752*(1+$U$1),2)</f>
        <v>26.54</v>
      </c>
      <c r="H752" s="76">
        <f>ROUND(E752*G752,2)</f>
        <v>53.08</v>
      </c>
      <c r="I752" s="75"/>
      <c r="J752" s="75">
        <v>2</v>
      </c>
      <c r="K752" s="75">
        <f t="shared" si="272"/>
        <v>0</v>
      </c>
      <c r="L752" s="76">
        <f>ROUND(E752*F752,2)</f>
        <v>41.6</v>
      </c>
      <c r="M752" s="76">
        <f t="shared" si="287"/>
        <v>0</v>
      </c>
      <c r="N752" s="76">
        <f t="shared" si="288"/>
        <v>53.08</v>
      </c>
      <c r="O752" s="76">
        <f t="shared" si="289"/>
        <v>0</v>
      </c>
      <c r="P752" s="90">
        <f t="shared" si="290"/>
        <v>1</v>
      </c>
      <c r="Q752" s="51"/>
      <c r="T752" s="53">
        <v>20.8</v>
      </c>
    </row>
    <row r="753" spans="1:20" s="56" customFormat="1" ht="12" x14ac:dyDescent="0.2">
      <c r="A753" s="72"/>
      <c r="B753" s="81">
        <v>45297</v>
      </c>
      <c r="C753" s="71" t="s">
        <v>473</v>
      </c>
      <c r="D753" s="72"/>
      <c r="E753" s="72"/>
      <c r="F753" s="75"/>
      <c r="G753" s="72"/>
      <c r="H753" s="72"/>
      <c r="I753" s="72"/>
      <c r="J753" s="75"/>
      <c r="K753" s="75"/>
      <c r="L753" s="72"/>
      <c r="M753" s="76"/>
      <c r="N753" s="76"/>
      <c r="O753" s="76"/>
      <c r="P753" s="90"/>
      <c r="Q753" s="52"/>
      <c r="T753" s="52"/>
    </row>
    <row r="754" spans="1:20" s="56" customFormat="1" ht="12" x14ac:dyDescent="0.2">
      <c r="A754" s="73" t="s">
        <v>308</v>
      </c>
      <c r="B754" s="73" t="s">
        <v>1180</v>
      </c>
      <c r="C754" s="74" t="s">
        <v>1181</v>
      </c>
      <c r="D754" s="73" t="s">
        <v>102</v>
      </c>
      <c r="E754" s="75">
        <v>3</v>
      </c>
      <c r="F754" s="75">
        <f>ROUND(T754*$T$10,2)</f>
        <v>79</v>
      </c>
      <c r="G754" s="75">
        <f>ROUND(F754*(1+$U$1),2)</f>
        <v>100.8</v>
      </c>
      <c r="H754" s="76">
        <f>ROUND(E754*G754,2)</f>
        <v>302.39999999999998</v>
      </c>
      <c r="I754" s="75"/>
      <c r="J754" s="75">
        <v>3</v>
      </c>
      <c r="K754" s="75">
        <f t="shared" si="272"/>
        <v>0</v>
      </c>
      <c r="L754" s="76">
        <f>ROUND(E754*F754,2)</f>
        <v>237</v>
      </c>
      <c r="M754" s="76">
        <f t="shared" si="287"/>
        <v>0</v>
      </c>
      <c r="N754" s="76">
        <f t="shared" si="288"/>
        <v>302.39999999999998</v>
      </c>
      <c r="O754" s="76">
        <f t="shared" si="289"/>
        <v>0</v>
      </c>
      <c r="P754" s="90">
        <f t="shared" si="290"/>
        <v>1</v>
      </c>
      <c r="Q754" s="51"/>
      <c r="T754" s="53">
        <v>79</v>
      </c>
    </row>
    <row r="755" spans="1:20" s="56" customFormat="1" ht="12" x14ac:dyDescent="0.2">
      <c r="A755" s="72"/>
      <c r="B755" s="81">
        <v>45298</v>
      </c>
      <c r="C755" s="71" t="s">
        <v>1182</v>
      </c>
      <c r="D755" s="72"/>
      <c r="E755" s="72"/>
      <c r="F755" s="75"/>
      <c r="G755" s="72"/>
      <c r="H755" s="72"/>
      <c r="I755" s="72"/>
      <c r="J755" s="75"/>
      <c r="K755" s="75"/>
      <c r="L755" s="72"/>
      <c r="M755" s="76"/>
      <c r="N755" s="76"/>
      <c r="O755" s="76"/>
      <c r="P755" s="90"/>
      <c r="Q755" s="52"/>
      <c r="T755" s="52"/>
    </row>
    <row r="756" spans="1:20" s="56" customFormat="1" ht="12" x14ac:dyDescent="0.2">
      <c r="A756" s="73" t="s">
        <v>308</v>
      </c>
      <c r="B756" s="73" t="s">
        <v>1183</v>
      </c>
      <c r="C756" s="74" t="s">
        <v>1184</v>
      </c>
      <c r="D756" s="73" t="s">
        <v>102</v>
      </c>
      <c r="E756" s="75">
        <v>3</v>
      </c>
      <c r="F756" s="75">
        <f>ROUND(T756*$T$10,2)</f>
        <v>18.899999999999999</v>
      </c>
      <c r="G756" s="75">
        <f>ROUND(F756*(1+$U$1),2)</f>
        <v>24.11</v>
      </c>
      <c r="H756" s="76">
        <f>ROUND(E756*G756,2)</f>
        <v>72.33</v>
      </c>
      <c r="I756" s="75"/>
      <c r="J756" s="75">
        <v>3</v>
      </c>
      <c r="K756" s="75">
        <f t="shared" si="272"/>
        <v>0</v>
      </c>
      <c r="L756" s="76">
        <f>ROUND(E756*F756,2)</f>
        <v>56.7</v>
      </c>
      <c r="M756" s="76">
        <f t="shared" si="287"/>
        <v>0</v>
      </c>
      <c r="N756" s="76">
        <f t="shared" si="288"/>
        <v>72.33</v>
      </c>
      <c r="O756" s="76">
        <f t="shared" si="289"/>
        <v>0</v>
      </c>
      <c r="P756" s="90">
        <f t="shared" si="290"/>
        <v>1</v>
      </c>
      <c r="Q756" s="51"/>
      <c r="T756" s="53">
        <v>18.899999999999999</v>
      </c>
    </row>
    <row r="757" spans="1:20" s="56" customFormat="1" ht="12" x14ac:dyDescent="0.2">
      <c r="A757" s="73" t="s">
        <v>308</v>
      </c>
      <c r="B757" s="73" t="s">
        <v>1185</v>
      </c>
      <c r="C757" s="74" t="s">
        <v>1186</v>
      </c>
      <c r="D757" s="73" t="s">
        <v>102</v>
      </c>
      <c r="E757" s="75">
        <v>5</v>
      </c>
      <c r="F757" s="75">
        <f>ROUND(T757*$T$10,2)</f>
        <v>15.9</v>
      </c>
      <c r="G757" s="75">
        <f>ROUND(F757*(1+$U$1),2)</f>
        <v>20.29</v>
      </c>
      <c r="H757" s="76">
        <f>ROUND(E757*G757,2)</f>
        <v>101.45</v>
      </c>
      <c r="I757" s="75"/>
      <c r="J757" s="75">
        <v>5</v>
      </c>
      <c r="K757" s="75">
        <f t="shared" si="272"/>
        <v>0</v>
      </c>
      <c r="L757" s="76">
        <f>ROUND(E757*F757,2)</f>
        <v>79.5</v>
      </c>
      <c r="M757" s="76">
        <f t="shared" si="287"/>
        <v>0</v>
      </c>
      <c r="N757" s="76">
        <f t="shared" si="288"/>
        <v>101.44999999999999</v>
      </c>
      <c r="O757" s="76">
        <f t="shared" si="289"/>
        <v>0</v>
      </c>
      <c r="P757" s="90">
        <f t="shared" si="290"/>
        <v>0.99999999999999989</v>
      </c>
      <c r="Q757" s="51"/>
      <c r="T757" s="53">
        <v>15.9</v>
      </c>
    </row>
    <row r="758" spans="1:20" s="56" customFormat="1" ht="12" x14ac:dyDescent="0.2">
      <c r="A758" s="72"/>
      <c r="B758" s="81">
        <v>45299</v>
      </c>
      <c r="C758" s="71" t="s">
        <v>1187</v>
      </c>
      <c r="D758" s="72"/>
      <c r="E758" s="72"/>
      <c r="F758" s="75"/>
      <c r="G758" s="72"/>
      <c r="H758" s="72"/>
      <c r="I758" s="72"/>
      <c r="J758" s="75"/>
      <c r="K758" s="75"/>
      <c r="L758" s="72"/>
      <c r="M758" s="76"/>
      <c r="N758" s="76"/>
      <c r="O758" s="76"/>
      <c r="P758" s="90"/>
      <c r="Q758" s="52"/>
      <c r="T758" s="52"/>
    </row>
    <row r="759" spans="1:20" s="56" customFormat="1" ht="12" x14ac:dyDescent="0.2">
      <c r="A759" s="73" t="s">
        <v>308</v>
      </c>
      <c r="B759" s="73" t="s">
        <v>1188</v>
      </c>
      <c r="C759" s="74" t="s">
        <v>1189</v>
      </c>
      <c r="D759" s="73" t="s">
        <v>102</v>
      </c>
      <c r="E759" s="75">
        <v>4</v>
      </c>
      <c r="F759" s="75">
        <f>ROUND(T759*$T$10,2)</f>
        <v>96</v>
      </c>
      <c r="G759" s="75">
        <f>ROUND(F759*(1+$U$1),2)</f>
        <v>122.49</v>
      </c>
      <c r="H759" s="76">
        <f>ROUND(E759*G759,2)</f>
        <v>489.96</v>
      </c>
      <c r="I759" s="75"/>
      <c r="J759" s="75">
        <v>4</v>
      </c>
      <c r="K759" s="75">
        <f t="shared" si="272"/>
        <v>0</v>
      </c>
      <c r="L759" s="76">
        <f>ROUND(E759*F759,2)</f>
        <v>384</v>
      </c>
      <c r="M759" s="76">
        <f t="shared" si="287"/>
        <v>0</v>
      </c>
      <c r="N759" s="76">
        <f t="shared" si="288"/>
        <v>489.96</v>
      </c>
      <c r="O759" s="76">
        <f t="shared" si="289"/>
        <v>0</v>
      </c>
      <c r="P759" s="90">
        <f t="shared" si="290"/>
        <v>1</v>
      </c>
      <c r="Q759" s="51"/>
      <c r="T759" s="53">
        <v>96</v>
      </c>
    </row>
    <row r="760" spans="1:20" s="56" customFormat="1" ht="12" x14ac:dyDescent="0.2">
      <c r="A760" s="72"/>
      <c r="B760" s="81">
        <v>45300</v>
      </c>
      <c r="C760" s="71" t="s">
        <v>1190</v>
      </c>
      <c r="D760" s="72"/>
      <c r="E760" s="72"/>
      <c r="F760" s="75"/>
      <c r="G760" s="72"/>
      <c r="H760" s="72"/>
      <c r="I760" s="72"/>
      <c r="J760" s="75"/>
      <c r="K760" s="75"/>
      <c r="L760" s="72"/>
      <c r="M760" s="76"/>
      <c r="N760" s="76"/>
      <c r="O760" s="76"/>
      <c r="P760" s="90"/>
      <c r="Q760" s="52"/>
      <c r="T760" s="52"/>
    </row>
    <row r="761" spans="1:20" s="56" customFormat="1" ht="12" x14ac:dyDescent="0.2">
      <c r="A761" s="73" t="s">
        <v>308</v>
      </c>
      <c r="B761" s="73" t="s">
        <v>1191</v>
      </c>
      <c r="C761" s="74" t="s">
        <v>1192</v>
      </c>
      <c r="D761" s="73" t="s">
        <v>102</v>
      </c>
      <c r="E761" s="75">
        <v>1</v>
      </c>
      <c r="F761" s="75">
        <f>ROUND(T761*$T$10,2)</f>
        <v>28.29</v>
      </c>
      <c r="G761" s="75">
        <f>ROUND(F761*(1+$U$1),2)</f>
        <v>36.1</v>
      </c>
      <c r="H761" s="76">
        <f>ROUND(E761*G761,2)</f>
        <v>36.1</v>
      </c>
      <c r="I761" s="75"/>
      <c r="J761" s="75">
        <v>1</v>
      </c>
      <c r="K761" s="75">
        <f t="shared" si="272"/>
        <v>0</v>
      </c>
      <c r="L761" s="76">
        <f>ROUND(E761*F761,2)</f>
        <v>28.29</v>
      </c>
      <c r="M761" s="76">
        <f t="shared" si="287"/>
        <v>0</v>
      </c>
      <c r="N761" s="76">
        <f t="shared" si="288"/>
        <v>36.1</v>
      </c>
      <c r="O761" s="76">
        <f t="shared" si="289"/>
        <v>0</v>
      </c>
      <c r="P761" s="90">
        <f t="shared" si="290"/>
        <v>1</v>
      </c>
      <c r="Q761" s="51"/>
      <c r="T761" s="53">
        <v>28.29</v>
      </c>
    </row>
    <row r="762" spans="1:20" s="56" customFormat="1" ht="12" x14ac:dyDescent="0.2">
      <c r="A762" s="73" t="s">
        <v>308</v>
      </c>
      <c r="B762" s="73" t="s">
        <v>1193</v>
      </c>
      <c r="C762" s="74" t="s">
        <v>1194</v>
      </c>
      <c r="D762" s="73" t="s">
        <v>102</v>
      </c>
      <c r="E762" s="75">
        <v>2</v>
      </c>
      <c r="F762" s="75">
        <f>ROUND(T762*$T$10,2)</f>
        <v>21.93</v>
      </c>
      <c r="G762" s="75">
        <f>ROUND(F762*(1+$U$1),2)</f>
        <v>27.98</v>
      </c>
      <c r="H762" s="76">
        <f>ROUND(E762*G762,2)</f>
        <v>55.96</v>
      </c>
      <c r="I762" s="75"/>
      <c r="J762" s="75">
        <v>2</v>
      </c>
      <c r="K762" s="75">
        <f t="shared" si="272"/>
        <v>0</v>
      </c>
      <c r="L762" s="76">
        <f>ROUND(E762*F762,2)</f>
        <v>43.86</v>
      </c>
      <c r="M762" s="76">
        <f t="shared" si="287"/>
        <v>0</v>
      </c>
      <c r="N762" s="76">
        <f t="shared" si="288"/>
        <v>55.96</v>
      </c>
      <c r="O762" s="76">
        <f t="shared" si="289"/>
        <v>0</v>
      </c>
      <c r="P762" s="90">
        <f t="shared" si="290"/>
        <v>1</v>
      </c>
      <c r="Q762" s="51"/>
      <c r="T762" s="53">
        <v>21.93</v>
      </c>
    </row>
    <row r="763" spans="1:20" s="56" customFormat="1" ht="12" x14ac:dyDescent="0.2">
      <c r="A763" s="72"/>
      <c r="B763" s="70" t="s">
        <v>1195</v>
      </c>
      <c r="C763" s="71" t="s">
        <v>1196</v>
      </c>
      <c r="D763" s="72"/>
      <c r="E763" s="72"/>
      <c r="F763" s="75"/>
      <c r="G763" s="72"/>
      <c r="H763" s="72"/>
      <c r="I763" s="72"/>
      <c r="J763" s="75"/>
      <c r="K763" s="75"/>
      <c r="L763" s="72"/>
      <c r="M763" s="76"/>
      <c r="N763" s="76"/>
      <c r="O763" s="76"/>
      <c r="P763" s="90"/>
      <c r="Q763" s="52"/>
      <c r="T763" s="52"/>
    </row>
    <row r="764" spans="1:20" s="56" customFormat="1" ht="12" x14ac:dyDescent="0.2">
      <c r="A764" s="72"/>
      <c r="B764" s="81">
        <v>45323</v>
      </c>
      <c r="C764" s="71" t="s">
        <v>1197</v>
      </c>
      <c r="D764" s="72"/>
      <c r="E764" s="72"/>
      <c r="F764" s="75"/>
      <c r="G764" s="72"/>
      <c r="H764" s="72"/>
      <c r="I764" s="72"/>
      <c r="J764" s="75"/>
      <c r="K764" s="75"/>
      <c r="L764" s="72"/>
      <c r="M764" s="76"/>
      <c r="N764" s="76"/>
      <c r="O764" s="76"/>
      <c r="P764" s="90"/>
      <c r="Q764" s="52"/>
      <c r="T764" s="52"/>
    </row>
    <row r="765" spans="1:20" s="56" customFormat="1" ht="12" x14ac:dyDescent="0.2">
      <c r="A765" s="73" t="s">
        <v>308</v>
      </c>
      <c r="B765" s="73" t="s">
        <v>1198</v>
      </c>
      <c r="C765" s="74" t="s">
        <v>1199</v>
      </c>
      <c r="D765" s="73" t="s">
        <v>102</v>
      </c>
      <c r="E765" s="75">
        <v>2</v>
      </c>
      <c r="F765" s="75">
        <f>ROUND(T765*$T$10,2)</f>
        <v>14.99</v>
      </c>
      <c r="G765" s="75">
        <f>ROUND(F765*(1+$U$1),2)</f>
        <v>19.13</v>
      </c>
      <c r="H765" s="76">
        <f>ROUND(E765*G765,2)</f>
        <v>38.26</v>
      </c>
      <c r="I765" s="75"/>
      <c r="J765" s="75">
        <v>2</v>
      </c>
      <c r="K765" s="75">
        <f t="shared" si="272"/>
        <v>0</v>
      </c>
      <c r="L765" s="76">
        <f>ROUND(E765*F765,2)</f>
        <v>29.98</v>
      </c>
      <c r="M765" s="76">
        <f t="shared" si="287"/>
        <v>0</v>
      </c>
      <c r="N765" s="76">
        <f t="shared" si="288"/>
        <v>38.26</v>
      </c>
      <c r="O765" s="76">
        <f t="shared" si="289"/>
        <v>0</v>
      </c>
      <c r="P765" s="90">
        <f t="shared" si="290"/>
        <v>1</v>
      </c>
      <c r="Q765" s="51"/>
      <c r="T765" s="53">
        <v>14.99</v>
      </c>
    </row>
    <row r="766" spans="1:20" s="56" customFormat="1" ht="12" x14ac:dyDescent="0.2">
      <c r="A766" s="72"/>
      <c r="B766" s="81">
        <v>45324</v>
      </c>
      <c r="C766" s="71" t="s">
        <v>1200</v>
      </c>
      <c r="D766" s="72"/>
      <c r="E766" s="72"/>
      <c r="F766" s="75"/>
      <c r="G766" s="72"/>
      <c r="H766" s="72"/>
      <c r="I766" s="72"/>
      <c r="J766" s="75"/>
      <c r="K766" s="75"/>
      <c r="L766" s="72"/>
      <c r="M766" s="76"/>
      <c r="N766" s="76"/>
      <c r="O766" s="76"/>
      <c r="P766" s="90"/>
      <c r="Q766" s="52"/>
      <c r="T766" s="52"/>
    </row>
    <row r="767" spans="1:20" s="56" customFormat="1" ht="12" x14ac:dyDescent="0.2">
      <c r="A767" s="73" t="s">
        <v>308</v>
      </c>
      <c r="B767" s="73" t="s">
        <v>1201</v>
      </c>
      <c r="C767" s="74" t="s">
        <v>1202</v>
      </c>
      <c r="D767" s="73" t="s">
        <v>102</v>
      </c>
      <c r="E767" s="75">
        <v>1</v>
      </c>
      <c r="F767" s="75">
        <f>ROUND(T767*$T$10,2)</f>
        <v>180</v>
      </c>
      <c r="G767" s="75">
        <f>ROUND(F767*(1+$U$1),2)</f>
        <v>229.66</v>
      </c>
      <c r="H767" s="76">
        <f>ROUND(E767*G767,2)</f>
        <v>229.66</v>
      </c>
      <c r="I767" s="75"/>
      <c r="J767" s="75">
        <v>1</v>
      </c>
      <c r="K767" s="75">
        <f t="shared" si="272"/>
        <v>0</v>
      </c>
      <c r="L767" s="76">
        <f>ROUND(E767*F767,2)</f>
        <v>180</v>
      </c>
      <c r="M767" s="76">
        <f t="shared" si="287"/>
        <v>0</v>
      </c>
      <c r="N767" s="76">
        <f t="shared" si="288"/>
        <v>229.66</v>
      </c>
      <c r="O767" s="76">
        <f t="shared" si="289"/>
        <v>0</v>
      </c>
      <c r="P767" s="90">
        <f t="shared" si="290"/>
        <v>1</v>
      </c>
      <c r="Q767" s="51"/>
      <c r="T767" s="53">
        <v>180</v>
      </c>
    </row>
    <row r="768" spans="1:20" s="56" customFormat="1" ht="12" x14ac:dyDescent="0.2">
      <c r="A768" s="73" t="s">
        <v>308</v>
      </c>
      <c r="B768" s="73" t="s">
        <v>1203</v>
      </c>
      <c r="C768" s="74" t="s">
        <v>1204</v>
      </c>
      <c r="D768" s="73" t="s">
        <v>102</v>
      </c>
      <c r="E768" s="75">
        <v>2</v>
      </c>
      <c r="F768" s="75">
        <f>ROUND(T768*$T$10,2)</f>
        <v>49.9</v>
      </c>
      <c r="G768" s="75">
        <f>ROUND(F768*(1+$U$1),2)</f>
        <v>63.67</v>
      </c>
      <c r="H768" s="76">
        <f>ROUND(E768*G768,2)</f>
        <v>127.34</v>
      </c>
      <c r="I768" s="75"/>
      <c r="J768" s="75">
        <v>2</v>
      </c>
      <c r="K768" s="75">
        <f t="shared" ref="K768:K815" si="291">E768-J768</f>
        <v>0</v>
      </c>
      <c r="L768" s="76">
        <f>ROUND(E768*F768,2)</f>
        <v>99.8</v>
      </c>
      <c r="M768" s="76">
        <f t="shared" si="287"/>
        <v>0</v>
      </c>
      <c r="N768" s="76">
        <f t="shared" si="288"/>
        <v>127.34</v>
      </c>
      <c r="O768" s="76">
        <f t="shared" si="289"/>
        <v>0</v>
      </c>
      <c r="P768" s="90">
        <f t="shared" si="290"/>
        <v>1</v>
      </c>
      <c r="Q768" s="51"/>
      <c r="T768" s="53">
        <v>49.9</v>
      </c>
    </row>
    <row r="769" spans="1:20" s="56" customFormat="1" ht="12" x14ac:dyDescent="0.2">
      <c r="A769" s="72"/>
      <c r="B769" s="81">
        <v>45325</v>
      </c>
      <c r="C769" s="71" t="s">
        <v>1205</v>
      </c>
      <c r="D769" s="72"/>
      <c r="E769" s="72"/>
      <c r="F769" s="75"/>
      <c r="G769" s="72"/>
      <c r="H769" s="72"/>
      <c r="I769" s="72"/>
      <c r="J769" s="75">
        <v>0</v>
      </c>
      <c r="K769" s="75">
        <f t="shared" si="291"/>
        <v>0</v>
      </c>
      <c r="L769" s="72"/>
      <c r="M769" s="76">
        <f t="shared" si="287"/>
        <v>0</v>
      </c>
      <c r="N769" s="76">
        <f t="shared" si="288"/>
        <v>0</v>
      </c>
      <c r="O769" s="76">
        <f t="shared" si="289"/>
        <v>0</v>
      </c>
      <c r="P769" s="90"/>
      <c r="Q769" s="52"/>
      <c r="T769" s="52"/>
    </row>
    <row r="770" spans="1:20" s="56" customFormat="1" ht="12" x14ac:dyDescent="0.2">
      <c r="A770" s="73" t="s">
        <v>308</v>
      </c>
      <c r="B770" s="73" t="s">
        <v>1206</v>
      </c>
      <c r="C770" s="74" t="s">
        <v>1207</v>
      </c>
      <c r="D770" s="73" t="s">
        <v>102</v>
      </c>
      <c r="E770" s="75">
        <v>2</v>
      </c>
      <c r="F770" s="75">
        <f>ROUND(T770*$T$10,2)</f>
        <v>49</v>
      </c>
      <c r="G770" s="75">
        <f>ROUND(F770*(1+$U$1),2)</f>
        <v>62.52</v>
      </c>
      <c r="H770" s="76">
        <f>ROUND(E770*G770,2)</f>
        <v>125.04</v>
      </c>
      <c r="I770" s="75"/>
      <c r="J770" s="75">
        <v>2</v>
      </c>
      <c r="K770" s="75">
        <f t="shared" si="291"/>
        <v>0</v>
      </c>
      <c r="L770" s="76">
        <f>ROUND(E770*F770,2)</f>
        <v>98</v>
      </c>
      <c r="M770" s="76">
        <f t="shared" si="287"/>
        <v>0</v>
      </c>
      <c r="N770" s="76">
        <f t="shared" si="288"/>
        <v>125.04</v>
      </c>
      <c r="O770" s="76">
        <f t="shared" si="289"/>
        <v>0</v>
      </c>
      <c r="P770" s="90">
        <f t="shared" si="290"/>
        <v>1</v>
      </c>
      <c r="Q770" s="51"/>
      <c r="T770" s="53">
        <v>49</v>
      </c>
    </row>
    <row r="771" spans="1:20" s="56" customFormat="1" ht="12" x14ac:dyDescent="0.2">
      <c r="A771" s="72"/>
      <c r="B771" s="81">
        <v>45325</v>
      </c>
      <c r="C771" s="71" t="s">
        <v>1208</v>
      </c>
      <c r="D771" s="72"/>
      <c r="E771" s="72"/>
      <c r="F771" s="75"/>
      <c r="G771" s="72"/>
      <c r="H771" s="72"/>
      <c r="I771" s="72"/>
      <c r="J771" s="75">
        <v>0</v>
      </c>
      <c r="K771" s="75">
        <f t="shared" si="291"/>
        <v>0</v>
      </c>
      <c r="L771" s="72"/>
      <c r="M771" s="76">
        <f t="shared" si="287"/>
        <v>0</v>
      </c>
      <c r="N771" s="76">
        <f t="shared" si="288"/>
        <v>0</v>
      </c>
      <c r="O771" s="76">
        <f t="shared" si="289"/>
        <v>0</v>
      </c>
      <c r="P771" s="90"/>
      <c r="Q771" s="52"/>
      <c r="T771" s="52"/>
    </row>
    <row r="772" spans="1:20" s="56" customFormat="1" ht="24" x14ac:dyDescent="0.2">
      <c r="A772" s="73" t="s">
        <v>308</v>
      </c>
      <c r="B772" s="73" t="s">
        <v>1206</v>
      </c>
      <c r="C772" s="74" t="s">
        <v>1209</v>
      </c>
      <c r="D772" s="73" t="s">
        <v>102</v>
      </c>
      <c r="E772" s="75">
        <v>1</v>
      </c>
      <c r="F772" s="75">
        <f>ROUND(T772*$T$10,2)</f>
        <v>26.89</v>
      </c>
      <c r="G772" s="75">
        <f>ROUND(F772*(1+$U$1),2)</f>
        <v>34.31</v>
      </c>
      <c r="H772" s="76">
        <f>ROUND(E772*G772,2)</f>
        <v>34.31</v>
      </c>
      <c r="I772" s="75"/>
      <c r="J772" s="75">
        <v>1</v>
      </c>
      <c r="K772" s="75">
        <f t="shared" si="291"/>
        <v>0</v>
      </c>
      <c r="L772" s="76">
        <f>ROUND(E772*F772,2)</f>
        <v>26.89</v>
      </c>
      <c r="M772" s="76">
        <f t="shared" si="287"/>
        <v>0</v>
      </c>
      <c r="N772" s="76">
        <f t="shared" si="288"/>
        <v>34.31</v>
      </c>
      <c r="O772" s="76">
        <f t="shared" si="289"/>
        <v>0</v>
      </c>
      <c r="P772" s="90">
        <f t="shared" si="290"/>
        <v>1</v>
      </c>
      <c r="Q772" s="51"/>
      <c r="T772" s="53">
        <v>26.89</v>
      </c>
    </row>
    <row r="773" spans="1:20" s="56" customFormat="1" ht="12" x14ac:dyDescent="0.2">
      <c r="A773" s="72"/>
      <c r="B773" s="81">
        <v>45326</v>
      </c>
      <c r="C773" s="71" t="s">
        <v>1210</v>
      </c>
      <c r="D773" s="72"/>
      <c r="E773" s="72"/>
      <c r="F773" s="75"/>
      <c r="G773" s="72"/>
      <c r="H773" s="72"/>
      <c r="I773" s="72"/>
      <c r="J773" s="75">
        <v>0</v>
      </c>
      <c r="K773" s="75">
        <f t="shared" si="291"/>
        <v>0</v>
      </c>
      <c r="L773" s="72"/>
      <c r="M773" s="76">
        <f t="shared" si="287"/>
        <v>0</v>
      </c>
      <c r="N773" s="76">
        <f t="shared" si="288"/>
        <v>0</v>
      </c>
      <c r="O773" s="76">
        <f t="shared" si="289"/>
        <v>0</v>
      </c>
      <c r="P773" s="90"/>
      <c r="Q773" s="52"/>
      <c r="T773" s="52"/>
    </row>
    <row r="774" spans="1:20" s="56" customFormat="1" ht="12" x14ac:dyDescent="0.2">
      <c r="A774" s="73" t="s">
        <v>308</v>
      </c>
      <c r="B774" s="73" t="s">
        <v>1211</v>
      </c>
      <c r="C774" s="74" t="s">
        <v>1212</v>
      </c>
      <c r="D774" s="73" t="s">
        <v>102</v>
      </c>
      <c r="E774" s="75">
        <v>6</v>
      </c>
      <c r="F774" s="75">
        <f>ROUND(T774*$T$10,2)</f>
        <v>0.17</v>
      </c>
      <c r="G774" s="75">
        <f>ROUND(F774*(1+$U$1),2)</f>
        <v>0.22</v>
      </c>
      <c r="H774" s="76">
        <f>ROUND(E774*G774,2)</f>
        <v>1.32</v>
      </c>
      <c r="I774" s="75"/>
      <c r="J774" s="75">
        <v>6</v>
      </c>
      <c r="K774" s="75">
        <f t="shared" si="291"/>
        <v>0</v>
      </c>
      <c r="L774" s="76">
        <f>ROUND(E774*F774,2)</f>
        <v>1.02</v>
      </c>
      <c r="M774" s="76">
        <f t="shared" si="287"/>
        <v>0</v>
      </c>
      <c r="N774" s="76">
        <f t="shared" si="288"/>
        <v>1.32</v>
      </c>
      <c r="O774" s="76">
        <f t="shared" si="289"/>
        <v>0</v>
      </c>
      <c r="P774" s="90">
        <f t="shared" si="290"/>
        <v>1</v>
      </c>
      <c r="Q774" s="51"/>
      <c r="T774" s="53">
        <v>0.17</v>
      </c>
    </row>
    <row r="775" spans="1:20" s="56" customFormat="1" ht="12" x14ac:dyDescent="0.2">
      <c r="A775" s="72"/>
      <c r="B775" s="71"/>
      <c r="C775" s="71"/>
      <c r="D775" s="71"/>
      <c r="E775" s="71"/>
      <c r="F775" s="75"/>
      <c r="G775" s="77" t="s">
        <v>1213</v>
      </c>
      <c r="H775" s="78">
        <f>SUM(H741:H774)</f>
        <v>3391.0899999999997</v>
      </c>
      <c r="I775" s="71"/>
      <c r="J775" s="75">
        <v>0</v>
      </c>
      <c r="K775" s="75">
        <f t="shared" si="291"/>
        <v>0</v>
      </c>
      <c r="L775" s="78">
        <f>SUM(L741:L774)</f>
        <v>2657.8</v>
      </c>
      <c r="M775" s="78">
        <f>SUM(M741:M774)</f>
        <v>0</v>
      </c>
      <c r="N775" s="78">
        <f>SUM(N741:N774)</f>
        <v>3391.09</v>
      </c>
      <c r="O775" s="78">
        <f>SUM(O741:O774)</f>
        <v>0</v>
      </c>
      <c r="P775" s="91">
        <f>N775/H775</f>
        <v>1.0000000000000002</v>
      </c>
      <c r="Q775" s="60"/>
      <c r="T775" s="59"/>
    </row>
    <row r="776" spans="1:20" s="56" customFormat="1" ht="12" x14ac:dyDescent="0.2">
      <c r="A776" s="72"/>
      <c r="B776" s="70" t="s">
        <v>1214</v>
      </c>
      <c r="C776" s="71" t="s">
        <v>1215</v>
      </c>
      <c r="D776" s="72"/>
      <c r="E776" s="72"/>
      <c r="F776" s="75"/>
      <c r="G776" s="72"/>
      <c r="H776" s="72"/>
      <c r="I776" s="72"/>
      <c r="J776" s="75">
        <v>0</v>
      </c>
      <c r="K776" s="75">
        <f t="shared" si="291"/>
        <v>0</v>
      </c>
      <c r="L776" s="72"/>
      <c r="M776" s="72"/>
      <c r="N776" s="72"/>
      <c r="O776" s="72"/>
      <c r="P776" s="72"/>
      <c r="Q776" s="52"/>
      <c r="T776" s="52"/>
    </row>
    <row r="777" spans="1:20" s="56" customFormat="1" ht="12" x14ac:dyDescent="0.2">
      <c r="A777" s="72"/>
      <c r="B777" s="70" t="s">
        <v>1216</v>
      </c>
      <c r="C777" s="71" t="s">
        <v>1196</v>
      </c>
      <c r="D777" s="71"/>
      <c r="E777" s="71"/>
      <c r="F777" s="75"/>
      <c r="G777" s="71"/>
      <c r="H777" s="72"/>
      <c r="I777" s="71"/>
      <c r="J777" s="75">
        <v>0</v>
      </c>
      <c r="K777" s="75">
        <f t="shared" si="291"/>
        <v>0</v>
      </c>
      <c r="L777" s="71"/>
      <c r="M777" s="72"/>
      <c r="N777" s="72"/>
      <c r="O777" s="72"/>
      <c r="P777" s="72"/>
      <c r="Q777" s="52"/>
      <c r="T777" s="59"/>
    </row>
    <row r="778" spans="1:20" s="56" customFormat="1" ht="12" x14ac:dyDescent="0.2">
      <c r="A778" s="73" t="s">
        <v>78</v>
      </c>
      <c r="B778" s="80">
        <v>45658</v>
      </c>
      <c r="C778" s="74" t="s">
        <v>1217</v>
      </c>
      <c r="D778" s="73" t="s">
        <v>102</v>
      </c>
      <c r="E778" s="75">
        <v>8</v>
      </c>
      <c r="F778" s="75">
        <f t="shared" ref="F778:F790" si="292">ROUND(T778*$T$10,2)</f>
        <v>95.52</v>
      </c>
      <c r="G778" s="75">
        <f t="shared" ref="G778:G790" si="293">ROUND(F778*(1+$U$1),2)</f>
        <v>121.87</v>
      </c>
      <c r="H778" s="76">
        <f t="shared" ref="H778:H790" si="294">ROUND(E778*G778,2)</f>
        <v>974.96</v>
      </c>
      <c r="I778" s="75">
        <v>8</v>
      </c>
      <c r="J778" s="75">
        <f>I778</f>
        <v>8</v>
      </c>
      <c r="K778" s="75">
        <f t="shared" si="291"/>
        <v>0</v>
      </c>
      <c r="L778" s="76">
        <f t="shared" ref="L778:L790" si="295">ROUND(E778*F778,2)</f>
        <v>764.16</v>
      </c>
      <c r="M778" s="76">
        <f t="shared" ref="M778:M790" si="296">I778*G778</f>
        <v>974.96</v>
      </c>
      <c r="N778" s="76">
        <f t="shared" ref="N778:N790" si="297">J778*G778</f>
        <v>974.96</v>
      </c>
      <c r="O778" s="76">
        <f t="shared" ref="O778:O790" si="298">H778-N778</f>
        <v>0</v>
      </c>
      <c r="P778" s="90">
        <f t="shared" ref="P778:P790" si="299">N778/H778</f>
        <v>1</v>
      </c>
      <c r="Q778" s="51"/>
      <c r="T778" s="53">
        <v>95.52</v>
      </c>
    </row>
    <row r="779" spans="1:20" s="56" customFormat="1" ht="12" x14ac:dyDescent="0.2">
      <c r="A779" s="73" t="s">
        <v>308</v>
      </c>
      <c r="B779" s="80">
        <v>45659</v>
      </c>
      <c r="C779" s="74" t="s">
        <v>1218</v>
      </c>
      <c r="D779" s="73" t="s">
        <v>102</v>
      </c>
      <c r="E779" s="75">
        <v>8</v>
      </c>
      <c r="F779" s="75">
        <f t="shared" si="292"/>
        <v>9.93</v>
      </c>
      <c r="G779" s="75">
        <f t="shared" si="293"/>
        <v>12.67</v>
      </c>
      <c r="H779" s="76">
        <f t="shared" si="294"/>
        <v>101.36</v>
      </c>
      <c r="I779" s="75">
        <v>8</v>
      </c>
      <c r="J779" s="75">
        <f t="shared" ref="J779:J789" si="300">I779</f>
        <v>8</v>
      </c>
      <c r="K779" s="75">
        <f t="shared" si="291"/>
        <v>0</v>
      </c>
      <c r="L779" s="76">
        <f t="shared" si="295"/>
        <v>79.44</v>
      </c>
      <c r="M779" s="76">
        <f t="shared" si="296"/>
        <v>101.36</v>
      </c>
      <c r="N779" s="76">
        <f t="shared" si="297"/>
        <v>101.36</v>
      </c>
      <c r="O779" s="76">
        <f t="shared" si="298"/>
        <v>0</v>
      </c>
      <c r="P779" s="90">
        <f t="shared" si="299"/>
        <v>1</v>
      </c>
      <c r="Q779" s="51"/>
      <c r="T779" s="53">
        <v>9.93</v>
      </c>
    </row>
    <row r="780" spans="1:20" s="56" customFormat="1" ht="24" x14ac:dyDescent="0.2">
      <c r="A780" s="73" t="s">
        <v>308</v>
      </c>
      <c r="B780" s="80">
        <v>45660</v>
      </c>
      <c r="C780" s="74" t="s">
        <v>1219</v>
      </c>
      <c r="D780" s="73" t="s">
        <v>102</v>
      </c>
      <c r="E780" s="75">
        <v>2</v>
      </c>
      <c r="F780" s="75">
        <f t="shared" si="292"/>
        <v>12.71</v>
      </c>
      <c r="G780" s="75">
        <f t="shared" si="293"/>
        <v>16.22</v>
      </c>
      <c r="H780" s="76">
        <f t="shared" si="294"/>
        <v>32.44</v>
      </c>
      <c r="I780" s="75">
        <v>2</v>
      </c>
      <c r="J780" s="75">
        <f t="shared" si="300"/>
        <v>2</v>
      </c>
      <c r="K780" s="75">
        <f t="shared" si="291"/>
        <v>0</v>
      </c>
      <c r="L780" s="76">
        <f t="shared" si="295"/>
        <v>25.42</v>
      </c>
      <c r="M780" s="76">
        <f t="shared" si="296"/>
        <v>32.44</v>
      </c>
      <c r="N780" s="76">
        <f t="shared" si="297"/>
        <v>32.44</v>
      </c>
      <c r="O780" s="76">
        <f t="shared" si="298"/>
        <v>0</v>
      </c>
      <c r="P780" s="90">
        <f t="shared" si="299"/>
        <v>1</v>
      </c>
      <c r="Q780" s="51"/>
      <c r="T780" s="53">
        <v>12.71</v>
      </c>
    </row>
    <row r="781" spans="1:20" s="56" customFormat="1" ht="24" x14ac:dyDescent="0.2">
      <c r="A781" s="73" t="s">
        <v>308</v>
      </c>
      <c r="B781" s="80">
        <v>45661</v>
      </c>
      <c r="C781" s="74" t="s">
        <v>1220</v>
      </c>
      <c r="D781" s="73" t="s">
        <v>102</v>
      </c>
      <c r="E781" s="75">
        <v>5</v>
      </c>
      <c r="F781" s="75">
        <f t="shared" si="292"/>
        <v>150</v>
      </c>
      <c r="G781" s="75">
        <f t="shared" si="293"/>
        <v>191.39</v>
      </c>
      <c r="H781" s="76">
        <f t="shared" si="294"/>
        <v>956.95</v>
      </c>
      <c r="I781" s="75">
        <v>5</v>
      </c>
      <c r="J781" s="75">
        <f t="shared" si="300"/>
        <v>5</v>
      </c>
      <c r="K781" s="75">
        <f t="shared" si="291"/>
        <v>0</v>
      </c>
      <c r="L781" s="76">
        <f t="shared" si="295"/>
        <v>750</v>
      </c>
      <c r="M781" s="76">
        <f t="shared" si="296"/>
        <v>956.94999999999993</v>
      </c>
      <c r="N781" s="76">
        <f t="shared" si="297"/>
        <v>956.94999999999993</v>
      </c>
      <c r="O781" s="76">
        <f t="shared" si="298"/>
        <v>0</v>
      </c>
      <c r="P781" s="90">
        <f t="shared" si="299"/>
        <v>0.99999999999999989</v>
      </c>
      <c r="Q781" s="51"/>
      <c r="T781" s="53">
        <v>150</v>
      </c>
    </row>
    <row r="782" spans="1:20" s="56" customFormat="1" ht="24" x14ac:dyDescent="0.2">
      <c r="A782" s="73" t="s">
        <v>308</v>
      </c>
      <c r="B782" s="80">
        <v>45662</v>
      </c>
      <c r="C782" s="74" t="s">
        <v>1221</v>
      </c>
      <c r="D782" s="73" t="s">
        <v>102</v>
      </c>
      <c r="E782" s="75">
        <v>38</v>
      </c>
      <c r="F782" s="75">
        <f t="shared" si="292"/>
        <v>59.9</v>
      </c>
      <c r="G782" s="75">
        <f t="shared" si="293"/>
        <v>76.430000000000007</v>
      </c>
      <c r="H782" s="76">
        <f t="shared" si="294"/>
        <v>2904.34</v>
      </c>
      <c r="I782" s="75">
        <v>38</v>
      </c>
      <c r="J782" s="75">
        <f t="shared" si="300"/>
        <v>38</v>
      </c>
      <c r="K782" s="75">
        <f t="shared" si="291"/>
        <v>0</v>
      </c>
      <c r="L782" s="76">
        <f t="shared" si="295"/>
        <v>2276.1999999999998</v>
      </c>
      <c r="M782" s="76">
        <f t="shared" si="296"/>
        <v>2904.34</v>
      </c>
      <c r="N782" s="76">
        <f t="shared" si="297"/>
        <v>2904.34</v>
      </c>
      <c r="O782" s="76">
        <f t="shared" si="298"/>
        <v>0</v>
      </c>
      <c r="P782" s="90">
        <f t="shared" si="299"/>
        <v>1</v>
      </c>
      <c r="Q782" s="51"/>
      <c r="T782" s="53">
        <v>59.9</v>
      </c>
    </row>
    <row r="783" spans="1:20" s="56" customFormat="1" ht="24" x14ac:dyDescent="0.2">
      <c r="A783" s="73" t="s">
        <v>308</v>
      </c>
      <c r="B783" s="80">
        <v>45663</v>
      </c>
      <c r="C783" s="74" t="s">
        <v>1222</v>
      </c>
      <c r="D783" s="73" t="s">
        <v>102</v>
      </c>
      <c r="E783" s="75">
        <v>2</v>
      </c>
      <c r="F783" s="75">
        <f t="shared" si="292"/>
        <v>219</v>
      </c>
      <c r="G783" s="75">
        <f t="shared" si="293"/>
        <v>279.42</v>
      </c>
      <c r="H783" s="76">
        <f t="shared" si="294"/>
        <v>558.84</v>
      </c>
      <c r="I783" s="75">
        <v>2</v>
      </c>
      <c r="J783" s="75">
        <f t="shared" si="300"/>
        <v>2</v>
      </c>
      <c r="K783" s="75">
        <f t="shared" si="291"/>
        <v>0</v>
      </c>
      <c r="L783" s="76">
        <f t="shared" si="295"/>
        <v>438</v>
      </c>
      <c r="M783" s="76">
        <f t="shared" si="296"/>
        <v>558.84</v>
      </c>
      <c r="N783" s="76">
        <f t="shared" si="297"/>
        <v>558.84</v>
      </c>
      <c r="O783" s="76">
        <f t="shared" si="298"/>
        <v>0</v>
      </c>
      <c r="P783" s="90">
        <f t="shared" si="299"/>
        <v>1</v>
      </c>
      <c r="Q783" s="51"/>
      <c r="T783" s="53">
        <v>219</v>
      </c>
    </row>
    <row r="784" spans="1:20" s="56" customFormat="1" ht="12" x14ac:dyDescent="0.2">
      <c r="A784" s="73" t="s">
        <v>308</v>
      </c>
      <c r="B784" s="80">
        <v>45664</v>
      </c>
      <c r="C784" s="74" t="s">
        <v>1223</v>
      </c>
      <c r="D784" s="73" t="s">
        <v>102</v>
      </c>
      <c r="E784" s="75">
        <v>9</v>
      </c>
      <c r="F784" s="75">
        <f t="shared" si="292"/>
        <v>19.3</v>
      </c>
      <c r="G784" s="75">
        <f t="shared" si="293"/>
        <v>24.62</v>
      </c>
      <c r="H784" s="76">
        <f t="shared" si="294"/>
        <v>221.58</v>
      </c>
      <c r="I784" s="75">
        <v>9</v>
      </c>
      <c r="J784" s="75">
        <f t="shared" si="300"/>
        <v>9</v>
      </c>
      <c r="K784" s="75">
        <f t="shared" si="291"/>
        <v>0</v>
      </c>
      <c r="L784" s="76">
        <f t="shared" si="295"/>
        <v>173.7</v>
      </c>
      <c r="M784" s="76">
        <f t="shared" si="296"/>
        <v>221.58</v>
      </c>
      <c r="N784" s="76">
        <f t="shared" si="297"/>
        <v>221.58</v>
      </c>
      <c r="O784" s="76">
        <f t="shared" si="298"/>
        <v>0</v>
      </c>
      <c r="P784" s="90">
        <f t="shared" si="299"/>
        <v>1</v>
      </c>
      <c r="Q784" s="51"/>
      <c r="T784" s="53">
        <v>19.3</v>
      </c>
    </row>
    <row r="785" spans="1:20" s="56" customFormat="1" ht="12" x14ac:dyDescent="0.2">
      <c r="A785" s="73" t="s">
        <v>308</v>
      </c>
      <c r="B785" s="80">
        <v>45665</v>
      </c>
      <c r="C785" s="74" t="s">
        <v>1224</v>
      </c>
      <c r="D785" s="73" t="s">
        <v>102</v>
      </c>
      <c r="E785" s="75">
        <v>8</v>
      </c>
      <c r="F785" s="75">
        <f t="shared" si="292"/>
        <v>19.3</v>
      </c>
      <c r="G785" s="75">
        <f t="shared" si="293"/>
        <v>24.62</v>
      </c>
      <c r="H785" s="76">
        <f t="shared" si="294"/>
        <v>196.96</v>
      </c>
      <c r="I785" s="75">
        <v>8</v>
      </c>
      <c r="J785" s="75">
        <f t="shared" si="300"/>
        <v>8</v>
      </c>
      <c r="K785" s="75">
        <f t="shared" si="291"/>
        <v>0</v>
      </c>
      <c r="L785" s="76">
        <f t="shared" si="295"/>
        <v>154.4</v>
      </c>
      <c r="M785" s="76">
        <f t="shared" si="296"/>
        <v>196.96</v>
      </c>
      <c r="N785" s="76">
        <f t="shared" si="297"/>
        <v>196.96</v>
      </c>
      <c r="O785" s="76">
        <f t="shared" si="298"/>
        <v>0</v>
      </c>
      <c r="P785" s="90">
        <f t="shared" si="299"/>
        <v>1</v>
      </c>
      <c r="Q785" s="51"/>
      <c r="T785" s="53">
        <v>19.3</v>
      </c>
    </row>
    <row r="786" spans="1:20" s="56" customFormat="1" ht="12" x14ac:dyDescent="0.2">
      <c r="A786" s="73" t="s">
        <v>308</v>
      </c>
      <c r="B786" s="80">
        <v>45666</v>
      </c>
      <c r="C786" s="74" t="s">
        <v>1225</v>
      </c>
      <c r="D786" s="73" t="s">
        <v>102</v>
      </c>
      <c r="E786" s="75">
        <v>8</v>
      </c>
      <c r="F786" s="75">
        <f t="shared" si="292"/>
        <v>9.9</v>
      </c>
      <c r="G786" s="75">
        <f t="shared" si="293"/>
        <v>12.63</v>
      </c>
      <c r="H786" s="76">
        <f t="shared" si="294"/>
        <v>101.04</v>
      </c>
      <c r="I786" s="75">
        <v>8</v>
      </c>
      <c r="J786" s="75">
        <f t="shared" si="300"/>
        <v>8</v>
      </c>
      <c r="K786" s="75">
        <f t="shared" si="291"/>
        <v>0</v>
      </c>
      <c r="L786" s="76">
        <f t="shared" si="295"/>
        <v>79.2</v>
      </c>
      <c r="M786" s="76">
        <f t="shared" si="296"/>
        <v>101.04</v>
      </c>
      <c r="N786" s="76">
        <f t="shared" si="297"/>
        <v>101.04</v>
      </c>
      <c r="O786" s="76">
        <f t="shared" si="298"/>
        <v>0</v>
      </c>
      <c r="P786" s="90">
        <f t="shared" si="299"/>
        <v>1</v>
      </c>
      <c r="Q786" s="51"/>
      <c r="T786" s="53">
        <v>9.9</v>
      </c>
    </row>
    <row r="787" spans="1:20" s="56" customFormat="1" ht="12" x14ac:dyDescent="0.2">
      <c r="A787" s="73" t="s">
        <v>308</v>
      </c>
      <c r="B787" s="87">
        <v>40203</v>
      </c>
      <c r="C787" s="74" t="s">
        <v>1226</v>
      </c>
      <c r="D787" s="73" t="s">
        <v>102</v>
      </c>
      <c r="E787" s="75">
        <v>1</v>
      </c>
      <c r="F787" s="75">
        <f t="shared" si="292"/>
        <v>11.57</v>
      </c>
      <c r="G787" s="75">
        <f t="shared" si="293"/>
        <v>14.76</v>
      </c>
      <c r="H787" s="76">
        <f t="shared" si="294"/>
        <v>14.76</v>
      </c>
      <c r="I787" s="75">
        <v>1</v>
      </c>
      <c r="J787" s="75">
        <f t="shared" si="300"/>
        <v>1</v>
      </c>
      <c r="K787" s="75">
        <f t="shared" si="291"/>
        <v>0</v>
      </c>
      <c r="L787" s="76">
        <f t="shared" si="295"/>
        <v>11.57</v>
      </c>
      <c r="M787" s="76">
        <f t="shared" si="296"/>
        <v>14.76</v>
      </c>
      <c r="N787" s="76">
        <f t="shared" si="297"/>
        <v>14.76</v>
      </c>
      <c r="O787" s="76">
        <f t="shared" si="298"/>
        <v>0</v>
      </c>
      <c r="P787" s="90">
        <f t="shared" si="299"/>
        <v>1</v>
      </c>
      <c r="Q787" s="51"/>
      <c r="T787" s="53">
        <v>11.57</v>
      </c>
    </row>
    <row r="788" spans="1:20" s="56" customFormat="1" ht="12" x14ac:dyDescent="0.2">
      <c r="A788" s="94">
        <v>38061</v>
      </c>
      <c r="B788" s="87">
        <v>40568</v>
      </c>
      <c r="C788" s="74" t="s">
        <v>1227</v>
      </c>
      <c r="D788" s="73" t="s">
        <v>102</v>
      </c>
      <c r="E788" s="75">
        <v>1</v>
      </c>
      <c r="F788" s="75">
        <f t="shared" si="292"/>
        <v>39.15</v>
      </c>
      <c r="G788" s="75">
        <f t="shared" si="293"/>
        <v>49.95</v>
      </c>
      <c r="H788" s="76">
        <f t="shared" si="294"/>
        <v>49.95</v>
      </c>
      <c r="I788" s="75">
        <v>1</v>
      </c>
      <c r="J788" s="75">
        <f t="shared" si="300"/>
        <v>1</v>
      </c>
      <c r="K788" s="75">
        <f t="shared" si="291"/>
        <v>0</v>
      </c>
      <c r="L788" s="76">
        <f t="shared" si="295"/>
        <v>39.15</v>
      </c>
      <c r="M788" s="76">
        <f t="shared" si="296"/>
        <v>49.95</v>
      </c>
      <c r="N788" s="76">
        <f t="shared" si="297"/>
        <v>49.95</v>
      </c>
      <c r="O788" s="76">
        <f t="shared" si="298"/>
        <v>0</v>
      </c>
      <c r="P788" s="90">
        <f t="shared" si="299"/>
        <v>1</v>
      </c>
      <c r="Q788" s="51"/>
      <c r="T788" s="53">
        <v>39.15</v>
      </c>
    </row>
    <row r="789" spans="1:20" s="56" customFormat="1" ht="12" x14ac:dyDescent="0.2">
      <c r="A789" s="94">
        <v>38061</v>
      </c>
      <c r="B789" s="87">
        <v>40933</v>
      </c>
      <c r="C789" s="74" t="s">
        <v>1228</v>
      </c>
      <c r="D789" s="73" t="s">
        <v>102</v>
      </c>
      <c r="E789" s="75">
        <v>1</v>
      </c>
      <c r="F789" s="75">
        <f t="shared" si="292"/>
        <v>39.15</v>
      </c>
      <c r="G789" s="75">
        <f t="shared" si="293"/>
        <v>49.95</v>
      </c>
      <c r="H789" s="76">
        <f t="shared" si="294"/>
        <v>49.95</v>
      </c>
      <c r="I789" s="75">
        <v>1</v>
      </c>
      <c r="J789" s="75">
        <f t="shared" si="300"/>
        <v>1</v>
      </c>
      <c r="K789" s="75">
        <f t="shared" si="291"/>
        <v>0</v>
      </c>
      <c r="L789" s="76">
        <f t="shared" si="295"/>
        <v>39.15</v>
      </c>
      <c r="M789" s="76">
        <f t="shared" si="296"/>
        <v>49.95</v>
      </c>
      <c r="N789" s="76">
        <f t="shared" si="297"/>
        <v>49.95</v>
      </c>
      <c r="O789" s="76">
        <f t="shared" si="298"/>
        <v>0</v>
      </c>
      <c r="P789" s="90">
        <f t="shared" si="299"/>
        <v>1</v>
      </c>
      <c r="Q789" s="51"/>
      <c r="T789" s="53">
        <v>39.15</v>
      </c>
    </row>
    <row r="790" spans="1:20" s="56" customFormat="1" ht="24" x14ac:dyDescent="0.2">
      <c r="A790" s="94">
        <v>38061</v>
      </c>
      <c r="B790" s="87">
        <v>41299</v>
      </c>
      <c r="C790" s="74" t="s">
        <v>1229</v>
      </c>
      <c r="D790" s="73" t="s">
        <v>102</v>
      </c>
      <c r="E790" s="75">
        <v>8</v>
      </c>
      <c r="F790" s="75">
        <f t="shared" si="292"/>
        <v>39.15</v>
      </c>
      <c r="G790" s="75">
        <f t="shared" si="293"/>
        <v>49.95</v>
      </c>
      <c r="H790" s="76">
        <f t="shared" si="294"/>
        <v>399.6</v>
      </c>
      <c r="I790" s="75">
        <v>8</v>
      </c>
      <c r="J790" s="75">
        <f>I790</f>
        <v>8</v>
      </c>
      <c r="K790" s="75">
        <f t="shared" si="291"/>
        <v>0</v>
      </c>
      <c r="L790" s="76">
        <f t="shared" si="295"/>
        <v>313.2</v>
      </c>
      <c r="M790" s="76">
        <f t="shared" si="296"/>
        <v>399.6</v>
      </c>
      <c r="N790" s="76">
        <f t="shared" si="297"/>
        <v>399.6</v>
      </c>
      <c r="O790" s="76">
        <f t="shared" si="298"/>
        <v>0</v>
      </c>
      <c r="P790" s="90">
        <f t="shared" si="299"/>
        <v>1</v>
      </c>
      <c r="Q790" s="51"/>
      <c r="T790" s="53">
        <v>39.15</v>
      </c>
    </row>
    <row r="791" spans="1:20" s="56" customFormat="1" ht="12" x14ac:dyDescent="0.2">
      <c r="A791" s="72"/>
      <c r="B791" s="71"/>
      <c r="C791" s="71"/>
      <c r="D791" s="71"/>
      <c r="E791" s="71"/>
      <c r="F791" s="75"/>
      <c r="G791" s="77" t="s">
        <v>1230</v>
      </c>
      <c r="H791" s="78">
        <f>SUM(H778:H790)</f>
        <v>6562.7300000000005</v>
      </c>
      <c r="I791" s="71"/>
      <c r="J791" s="75">
        <v>0</v>
      </c>
      <c r="K791" s="75">
        <f t="shared" si="291"/>
        <v>0</v>
      </c>
      <c r="L791" s="78">
        <f>SUM(L778:L790)</f>
        <v>5143.5899999999974</v>
      </c>
      <c r="M791" s="78">
        <f>SUM(M778:M790)</f>
        <v>6562.7300000000005</v>
      </c>
      <c r="N791" s="78">
        <f>SUM(N778:N790)</f>
        <v>6562.7300000000005</v>
      </c>
      <c r="O791" s="78">
        <f>SUM(O778:O790)</f>
        <v>0</v>
      </c>
      <c r="P791" s="91">
        <f>N791/H791</f>
        <v>1</v>
      </c>
      <c r="Q791" s="60"/>
      <c r="T791" s="59"/>
    </row>
    <row r="792" spans="1:20" s="56" customFormat="1" ht="12" x14ac:dyDescent="0.2">
      <c r="A792" s="72"/>
      <c r="B792" s="82"/>
      <c r="C792" s="82"/>
      <c r="D792" s="82"/>
      <c r="E792" s="82"/>
      <c r="F792" s="75"/>
      <c r="G792" s="82"/>
      <c r="H792" s="72"/>
      <c r="I792" s="82"/>
      <c r="J792" s="75">
        <v>0</v>
      </c>
      <c r="K792" s="75">
        <f t="shared" si="291"/>
        <v>0</v>
      </c>
      <c r="L792" s="82"/>
      <c r="M792" s="72"/>
      <c r="N792" s="72"/>
      <c r="O792" s="72"/>
      <c r="P792" s="72"/>
      <c r="Q792" s="52"/>
      <c r="T792" s="61"/>
    </row>
    <row r="793" spans="1:20" s="56" customFormat="1" ht="12" x14ac:dyDescent="0.2">
      <c r="A793" s="72"/>
      <c r="B793" s="70" t="s">
        <v>1231</v>
      </c>
      <c r="C793" s="71" t="s">
        <v>1232</v>
      </c>
      <c r="D793" s="72"/>
      <c r="E793" s="72"/>
      <c r="F793" s="75"/>
      <c r="G793" s="72"/>
      <c r="H793" s="72"/>
      <c r="I793" s="72"/>
      <c r="J793" s="75">
        <v>0</v>
      </c>
      <c r="K793" s="75">
        <f t="shared" si="291"/>
        <v>0</v>
      </c>
      <c r="L793" s="72"/>
      <c r="M793" s="72"/>
      <c r="N793" s="72"/>
      <c r="O793" s="72"/>
      <c r="P793" s="90"/>
      <c r="Q793" s="52"/>
      <c r="T793" s="52"/>
    </row>
    <row r="794" spans="1:20" s="56" customFormat="1" ht="12" x14ac:dyDescent="0.2">
      <c r="A794" s="94">
        <v>9537</v>
      </c>
      <c r="B794" s="73" t="s">
        <v>1233</v>
      </c>
      <c r="C794" s="74" t="s">
        <v>1234</v>
      </c>
      <c r="D794" s="73" t="s">
        <v>14</v>
      </c>
      <c r="E794" s="76">
        <v>1118.48</v>
      </c>
      <c r="F794" s="75">
        <f>ROUND(T794*$T$10,2)</f>
        <v>1.89</v>
      </c>
      <c r="G794" s="75">
        <f>ROUND(F794*(1+$U$1),2)</f>
        <v>2.41</v>
      </c>
      <c r="H794" s="76">
        <f>ROUND(E794*G794,2)</f>
        <v>2695.54</v>
      </c>
      <c r="I794" s="76">
        <v>1118.48</v>
      </c>
      <c r="J794" s="75">
        <f>I794</f>
        <v>1118.48</v>
      </c>
      <c r="K794" s="75">
        <f t="shared" si="291"/>
        <v>0</v>
      </c>
      <c r="L794" s="76">
        <f>ROUND(E794*F794,2)</f>
        <v>2113.9299999999998</v>
      </c>
      <c r="M794" s="76">
        <f>I794*G794</f>
        <v>2695.5368000000003</v>
      </c>
      <c r="N794" s="76">
        <f>J794*G794</f>
        <v>2695.5368000000003</v>
      </c>
      <c r="O794" s="76">
        <f>H794-N794</f>
        <v>3.1999999996514816E-3</v>
      </c>
      <c r="P794" s="90">
        <f t="shared" ref="P794" si="301">N794/H794</f>
        <v>0.9999988128538253</v>
      </c>
      <c r="Q794" s="51"/>
      <c r="T794" s="53">
        <v>1.89</v>
      </c>
    </row>
    <row r="795" spans="1:20" s="56" customFormat="1" ht="12" x14ac:dyDescent="0.2">
      <c r="A795" s="72"/>
      <c r="B795" s="71"/>
      <c r="C795" s="71"/>
      <c r="D795" s="71"/>
      <c r="E795" s="71"/>
      <c r="F795" s="75"/>
      <c r="G795" s="77" t="s">
        <v>1235</v>
      </c>
      <c r="H795" s="78">
        <f>SUM(H794)</f>
        <v>2695.54</v>
      </c>
      <c r="I795" s="71"/>
      <c r="J795" s="75">
        <v>0</v>
      </c>
      <c r="K795" s="75">
        <f t="shared" si="291"/>
        <v>0</v>
      </c>
      <c r="L795" s="78">
        <f>SUM(L794)</f>
        <v>2113.9299999999998</v>
      </c>
      <c r="M795" s="78">
        <f>SUM(M794)</f>
        <v>2695.5368000000003</v>
      </c>
      <c r="N795" s="78">
        <f>SUM(N794)</f>
        <v>2695.5368000000003</v>
      </c>
      <c r="O795" s="78">
        <f>SUM(O794)</f>
        <v>3.1999999996514816E-3</v>
      </c>
      <c r="P795" s="91">
        <f>N795/H795</f>
        <v>0.9999988128538253</v>
      </c>
      <c r="Q795" s="60"/>
      <c r="R795" s="58"/>
      <c r="T795" s="59"/>
    </row>
    <row r="796" spans="1:20" s="56" customFormat="1" ht="12" x14ac:dyDescent="0.2">
      <c r="A796" s="72"/>
      <c r="B796" s="82"/>
      <c r="C796" s="82"/>
      <c r="D796" s="82"/>
      <c r="E796" s="82"/>
      <c r="F796" s="75"/>
      <c r="G796" s="82"/>
      <c r="H796" s="72"/>
      <c r="I796" s="82"/>
      <c r="J796" s="75">
        <v>0</v>
      </c>
      <c r="K796" s="75">
        <f t="shared" si="291"/>
        <v>0</v>
      </c>
      <c r="L796" s="82"/>
      <c r="M796" s="72"/>
      <c r="N796" s="72"/>
      <c r="O796" s="72"/>
      <c r="P796" s="72"/>
      <c r="Q796" s="52"/>
      <c r="T796" s="61"/>
    </row>
    <row r="797" spans="1:20" s="56" customFormat="1" ht="12" x14ac:dyDescent="0.2">
      <c r="A797" s="72"/>
      <c r="B797" s="70" t="s">
        <v>1236</v>
      </c>
      <c r="C797" s="71" t="s">
        <v>1237</v>
      </c>
      <c r="D797" s="72"/>
      <c r="E797" s="72"/>
      <c r="F797" s="75"/>
      <c r="G797" s="72"/>
      <c r="H797" s="72"/>
      <c r="I797" s="72"/>
      <c r="J797" s="75">
        <v>0</v>
      </c>
      <c r="K797" s="75">
        <f t="shared" si="291"/>
        <v>0</v>
      </c>
      <c r="L797" s="72"/>
      <c r="M797" s="72"/>
      <c r="N797" s="72"/>
      <c r="O797" s="72"/>
      <c r="P797" s="72"/>
      <c r="Q797" s="52"/>
      <c r="T797" s="52"/>
    </row>
    <row r="798" spans="1:20" s="56" customFormat="1" ht="12" x14ac:dyDescent="0.2">
      <c r="A798" s="72"/>
      <c r="B798" s="70" t="s">
        <v>1238</v>
      </c>
      <c r="C798" s="71" t="s">
        <v>1239</v>
      </c>
      <c r="D798" s="72"/>
      <c r="E798" s="72"/>
      <c r="F798" s="75"/>
      <c r="G798" s="72"/>
      <c r="H798" s="72"/>
      <c r="I798" s="72"/>
      <c r="J798" s="75">
        <v>0</v>
      </c>
      <c r="K798" s="75">
        <f t="shared" si="291"/>
        <v>0</v>
      </c>
      <c r="L798" s="72"/>
      <c r="M798" s="72"/>
      <c r="N798" s="72"/>
      <c r="O798" s="72"/>
      <c r="P798" s="72"/>
      <c r="Q798" s="52"/>
      <c r="T798" s="52"/>
    </row>
    <row r="799" spans="1:20" s="56" customFormat="1" ht="24" x14ac:dyDescent="0.2">
      <c r="A799" s="94">
        <v>96523</v>
      </c>
      <c r="B799" s="80">
        <v>46388</v>
      </c>
      <c r="C799" s="74" t="s">
        <v>1240</v>
      </c>
      <c r="D799" s="73" t="s">
        <v>14</v>
      </c>
      <c r="E799" s="75">
        <v>43.47</v>
      </c>
      <c r="F799" s="75">
        <f t="shared" ref="F799:F811" si="302">ROUND(T799*$T$10,2)</f>
        <v>59.37</v>
      </c>
      <c r="G799" s="75">
        <f t="shared" ref="G799:G811" si="303">ROUND(F799*(1+$U$1),2)</f>
        <v>75.75</v>
      </c>
      <c r="H799" s="76">
        <f t="shared" ref="H799:H811" si="304">ROUND(E799*G799,2)</f>
        <v>3292.85</v>
      </c>
      <c r="I799" s="75"/>
      <c r="J799" s="75">
        <v>43.47</v>
      </c>
      <c r="K799" s="75">
        <f t="shared" si="291"/>
        <v>0</v>
      </c>
      <c r="L799" s="76">
        <f t="shared" ref="L799:L811" si="305">ROUND(E799*F799,2)</f>
        <v>2580.81</v>
      </c>
      <c r="M799" s="76">
        <f t="shared" ref="M799:M811" si="306">I799*G799</f>
        <v>0</v>
      </c>
      <c r="N799" s="76">
        <f t="shared" ref="N799:N811" si="307">J799*G799</f>
        <v>3292.8525</v>
      </c>
      <c r="O799" s="76">
        <f t="shared" ref="O799:O811" si="308">H799-N799</f>
        <v>-2.5000000000545697E-3</v>
      </c>
      <c r="P799" s="90">
        <f t="shared" ref="P799:P812" si="309">N799/H799</f>
        <v>1.0000007592207358</v>
      </c>
      <c r="Q799" s="51"/>
      <c r="T799" s="53">
        <v>59.37</v>
      </c>
    </row>
    <row r="800" spans="1:20" s="56" customFormat="1" ht="24" x14ac:dyDescent="0.2">
      <c r="A800" s="94">
        <v>96616</v>
      </c>
      <c r="B800" s="80">
        <v>46389</v>
      </c>
      <c r="C800" s="74" t="s">
        <v>1241</v>
      </c>
      <c r="D800" s="69" t="s">
        <v>171</v>
      </c>
      <c r="E800" s="75">
        <v>2.0699999999999998</v>
      </c>
      <c r="F800" s="75">
        <f t="shared" si="302"/>
        <v>395.1</v>
      </c>
      <c r="G800" s="75">
        <f t="shared" si="303"/>
        <v>504.11</v>
      </c>
      <c r="H800" s="76">
        <f t="shared" si="304"/>
        <v>1043.51</v>
      </c>
      <c r="I800" s="75"/>
      <c r="J800" s="75">
        <v>2.0699999999999998</v>
      </c>
      <c r="K800" s="75">
        <f t="shared" si="291"/>
        <v>0</v>
      </c>
      <c r="L800" s="76">
        <f t="shared" si="305"/>
        <v>817.86</v>
      </c>
      <c r="M800" s="76">
        <f t="shared" si="306"/>
        <v>0</v>
      </c>
      <c r="N800" s="76">
        <f t="shared" si="307"/>
        <v>1043.5076999999999</v>
      </c>
      <c r="O800" s="76">
        <f t="shared" si="308"/>
        <v>2.3000000001047738E-3</v>
      </c>
      <c r="P800" s="90">
        <f t="shared" si="309"/>
        <v>0.99999779590037463</v>
      </c>
      <c r="Q800" s="51"/>
      <c r="T800" s="53">
        <v>395.1</v>
      </c>
    </row>
    <row r="801" spans="1:20" s="56" customFormat="1" ht="24" x14ac:dyDescent="0.2">
      <c r="A801" s="94">
        <v>95592</v>
      </c>
      <c r="B801" s="80">
        <v>46390</v>
      </c>
      <c r="C801" s="74" t="s">
        <v>1242</v>
      </c>
      <c r="D801" s="73" t="s">
        <v>35</v>
      </c>
      <c r="E801" s="76">
        <v>1051.68</v>
      </c>
      <c r="F801" s="75">
        <f t="shared" si="302"/>
        <v>12.22</v>
      </c>
      <c r="G801" s="75">
        <f t="shared" si="303"/>
        <v>15.59</v>
      </c>
      <c r="H801" s="76">
        <f t="shared" si="304"/>
        <v>16395.689999999999</v>
      </c>
      <c r="I801" s="76"/>
      <c r="J801" s="75">
        <v>1051.68</v>
      </c>
      <c r="K801" s="75">
        <f t="shared" si="291"/>
        <v>0</v>
      </c>
      <c r="L801" s="76">
        <f t="shared" si="305"/>
        <v>12851.53</v>
      </c>
      <c r="M801" s="76">
        <f t="shared" si="306"/>
        <v>0</v>
      </c>
      <c r="N801" s="76">
        <f t="shared" si="307"/>
        <v>16395.691200000001</v>
      </c>
      <c r="O801" s="76">
        <f t="shared" si="308"/>
        <v>-1.2000000024272595E-3</v>
      </c>
      <c r="P801" s="90">
        <f t="shared" si="309"/>
        <v>1.0000000731899665</v>
      </c>
      <c r="Q801" s="51"/>
      <c r="T801" s="53">
        <v>12.22</v>
      </c>
    </row>
    <row r="802" spans="1:20" s="56" customFormat="1" ht="24" x14ac:dyDescent="0.2">
      <c r="A802" s="94">
        <v>95585</v>
      </c>
      <c r="B802" s="80">
        <v>46391</v>
      </c>
      <c r="C802" s="74" t="s">
        <v>1243</v>
      </c>
      <c r="D802" s="73" t="s">
        <v>35</v>
      </c>
      <c r="E802" s="75">
        <v>1956.11</v>
      </c>
      <c r="F802" s="75">
        <f t="shared" si="302"/>
        <v>7.67</v>
      </c>
      <c r="G802" s="75">
        <f t="shared" si="303"/>
        <v>9.7899999999999991</v>
      </c>
      <c r="H802" s="76">
        <f t="shared" si="304"/>
        <v>19150.32</v>
      </c>
      <c r="I802" s="75"/>
      <c r="J802" s="75">
        <v>1956.11</v>
      </c>
      <c r="K802" s="75">
        <f t="shared" si="291"/>
        <v>0</v>
      </c>
      <c r="L802" s="76">
        <f t="shared" si="305"/>
        <v>15003.36</v>
      </c>
      <c r="M802" s="76">
        <f t="shared" si="306"/>
        <v>0</v>
      </c>
      <c r="N802" s="76">
        <f t="shared" si="307"/>
        <v>19150.316899999998</v>
      </c>
      <c r="O802" s="76">
        <f t="shared" si="308"/>
        <v>3.1000000017229468E-3</v>
      </c>
      <c r="P802" s="90">
        <f t="shared" si="309"/>
        <v>0.99999983812280935</v>
      </c>
      <c r="Q802" s="51"/>
      <c r="T802" s="53">
        <v>7.67</v>
      </c>
    </row>
    <row r="803" spans="1:20" s="56" customFormat="1" ht="13.5" x14ac:dyDescent="0.2">
      <c r="A803" s="94">
        <v>94965</v>
      </c>
      <c r="B803" s="80">
        <v>46392</v>
      </c>
      <c r="C803" s="74" t="s">
        <v>1244</v>
      </c>
      <c r="D803" s="69" t="s">
        <v>171</v>
      </c>
      <c r="E803" s="75">
        <v>26.73</v>
      </c>
      <c r="F803" s="75">
        <f t="shared" si="302"/>
        <v>302.64</v>
      </c>
      <c r="G803" s="75">
        <f t="shared" si="303"/>
        <v>386.14</v>
      </c>
      <c r="H803" s="76">
        <f t="shared" si="304"/>
        <v>10321.52</v>
      </c>
      <c r="I803" s="75"/>
      <c r="J803" s="75">
        <v>26.73</v>
      </c>
      <c r="K803" s="75">
        <f t="shared" si="291"/>
        <v>0</v>
      </c>
      <c r="L803" s="76">
        <f t="shared" si="305"/>
        <v>8089.57</v>
      </c>
      <c r="M803" s="76">
        <f t="shared" si="306"/>
        <v>0</v>
      </c>
      <c r="N803" s="76">
        <f t="shared" si="307"/>
        <v>10321.522199999999</v>
      </c>
      <c r="O803" s="76">
        <f t="shared" si="308"/>
        <v>-2.1999999989930075E-3</v>
      </c>
      <c r="P803" s="90">
        <f t="shared" si="309"/>
        <v>1.0000002131469008</v>
      </c>
      <c r="Q803" s="51"/>
      <c r="T803" s="53">
        <v>302.64</v>
      </c>
    </row>
    <row r="804" spans="1:20" s="56" customFormat="1" ht="24" x14ac:dyDescent="0.2">
      <c r="A804" s="94">
        <v>92873</v>
      </c>
      <c r="B804" s="80">
        <v>46393</v>
      </c>
      <c r="C804" s="74" t="s">
        <v>1245</v>
      </c>
      <c r="D804" s="69" t="s">
        <v>171</v>
      </c>
      <c r="E804" s="75">
        <v>26.73</v>
      </c>
      <c r="F804" s="75">
        <f t="shared" si="302"/>
        <v>135.94</v>
      </c>
      <c r="G804" s="75">
        <f t="shared" si="303"/>
        <v>173.45</v>
      </c>
      <c r="H804" s="76">
        <f t="shared" si="304"/>
        <v>4636.32</v>
      </c>
      <c r="I804" s="75"/>
      <c r="J804" s="75">
        <v>26.73</v>
      </c>
      <c r="K804" s="75">
        <f t="shared" si="291"/>
        <v>0</v>
      </c>
      <c r="L804" s="76">
        <f t="shared" si="305"/>
        <v>3633.68</v>
      </c>
      <c r="M804" s="76">
        <f t="shared" si="306"/>
        <v>0</v>
      </c>
      <c r="N804" s="76">
        <f t="shared" si="307"/>
        <v>4636.3184999999994</v>
      </c>
      <c r="O804" s="76">
        <f t="shared" si="308"/>
        <v>1.5000000003055902E-3</v>
      </c>
      <c r="P804" s="90">
        <f t="shared" si="309"/>
        <v>0.99999967646754317</v>
      </c>
      <c r="Q804" s="51"/>
      <c r="T804" s="53">
        <v>135.94</v>
      </c>
    </row>
    <row r="805" spans="1:20" s="56" customFormat="1" ht="13.5" x14ac:dyDescent="0.2">
      <c r="A805" s="94">
        <v>96995</v>
      </c>
      <c r="B805" s="80">
        <v>46394</v>
      </c>
      <c r="C805" s="74" t="s">
        <v>1246</v>
      </c>
      <c r="D805" s="69" t="s">
        <v>171</v>
      </c>
      <c r="E805" s="89">
        <v>41.112499999999997</v>
      </c>
      <c r="F805" s="75">
        <f t="shared" si="302"/>
        <v>29.88</v>
      </c>
      <c r="G805" s="75">
        <f t="shared" si="303"/>
        <v>38.119999999999997</v>
      </c>
      <c r="H805" s="76">
        <f t="shared" si="304"/>
        <v>1567.21</v>
      </c>
      <c r="I805" s="75"/>
      <c r="J805" s="75">
        <v>41.112499999999997</v>
      </c>
      <c r="K805" s="75">
        <f t="shared" si="291"/>
        <v>0</v>
      </c>
      <c r="L805" s="76">
        <f t="shared" si="305"/>
        <v>1228.44</v>
      </c>
      <c r="M805" s="76">
        <f t="shared" si="306"/>
        <v>0</v>
      </c>
      <c r="N805" s="76">
        <f t="shared" si="307"/>
        <v>1567.2084999999997</v>
      </c>
      <c r="O805" s="76">
        <f t="shared" si="308"/>
        <v>1.5000000003055902E-3</v>
      </c>
      <c r="P805" s="90">
        <f t="shared" si="309"/>
        <v>0.99999904288512687</v>
      </c>
      <c r="Q805" s="51"/>
      <c r="T805" s="53">
        <v>29.88</v>
      </c>
    </row>
    <row r="806" spans="1:20" s="56" customFormat="1" ht="24" x14ac:dyDescent="0.2">
      <c r="A806" s="94">
        <v>68054</v>
      </c>
      <c r="B806" s="80">
        <v>46395</v>
      </c>
      <c r="C806" s="74" t="s">
        <v>1247</v>
      </c>
      <c r="D806" s="73" t="s">
        <v>14</v>
      </c>
      <c r="E806" s="75">
        <v>15.5</v>
      </c>
      <c r="F806" s="75">
        <f t="shared" si="302"/>
        <v>181.93</v>
      </c>
      <c r="G806" s="75">
        <f t="shared" si="303"/>
        <v>232.12</v>
      </c>
      <c r="H806" s="76">
        <f t="shared" si="304"/>
        <v>3597.86</v>
      </c>
      <c r="I806" s="75"/>
      <c r="J806" s="75">
        <v>15.5</v>
      </c>
      <c r="K806" s="75">
        <f t="shared" si="291"/>
        <v>0</v>
      </c>
      <c r="L806" s="76">
        <f t="shared" si="305"/>
        <v>2819.92</v>
      </c>
      <c r="M806" s="76">
        <f t="shared" si="306"/>
        <v>0</v>
      </c>
      <c r="N806" s="76">
        <f t="shared" si="307"/>
        <v>3597.86</v>
      </c>
      <c r="O806" s="76">
        <f t="shared" si="308"/>
        <v>0</v>
      </c>
      <c r="P806" s="90">
        <f t="shared" si="309"/>
        <v>1</v>
      </c>
      <c r="Q806" s="51"/>
      <c r="T806" s="53">
        <v>181.93</v>
      </c>
    </row>
    <row r="807" spans="1:20" s="56" customFormat="1" ht="60" x14ac:dyDescent="0.2">
      <c r="A807" s="94">
        <v>87478</v>
      </c>
      <c r="B807" s="80">
        <v>46396</v>
      </c>
      <c r="C807" s="74" t="s">
        <v>1248</v>
      </c>
      <c r="D807" s="73" t="s">
        <v>14</v>
      </c>
      <c r="E807" s="75">
        <v>569.25</v>
      </c>
      <c r="F807" s="75">
        <f t="shared" si="302"/>
        <v>30.11</v>
      </c>
      <c r="G807" s="75">
        <f t="shared" si="303"/>
        <v>38.42</v>
      </c>
      <c r="H807" s="76">
        <f t="shared" si="304"/>
        <v>21870.59</v>
      </c>
      <c r="I807" s="75"/>
      <c r="J807" s="75">
        <v>569.25</v>
      </c>
      <c r="K807" s="75">
        <f t="shared" si="291"/>
        <v>0</v>
      </c>
      <c r="L807" s="76">
        <f t="shared" si="305"/>
        <v>17140.12</v>
      </c>
      <c r="M807" s="76">
        <f t="shared" si="306"/>
        <v>0</v>
      </c>
      <c r="N807" s="76">
        <f t="shared" si="307"/>
        <v>21870.585000000003</v>
      </c>
      <c r="O807" s="76">
        <f t="shared" si="308"/>
        <v>4.9999999973806553E-3</v>
      </c>
      <c r="P807" s="90">
        <f t="shared" si="309"/>
        <v>0.99999977138248231</v>
      </c>
      <c r="Q807" s="51"/>
      <c r="T807" s="53">
        <v>30.11</v>
      </c>
    </row>
    <row r="808" spans="1:20" s="56" customFormat="1" ht="24" x14ac:dyDescent="0.2">
      <c r="A808" s="73" t="s">
        <v>1249</v>
      </c>
      <c r="B808" s="87">
        <v>40205</v>
      </c>
      <c r="C808" s="74" t="s">
        <v>1250</v>
      </c>
      <c r="D808" s="73" t="s">
        <v>14</v>
      </c>
      <c r="E808" s="75">
        <v>65.25</v>
      </c>
      <c r="F808" s="75">
        <f t="shared" si="302"/>
        <v>76.17</v>
      </c>
      <c r="G808" s="75">
        <f t="shared" si="303"/>
        <v>97.19</v>
      </c>
      <c r="H808" s="76">
        <f t="shared" si="304"/>
        <v>6341.65</v>
      </c>
      <c r="I808" s="75"/>
      <c r="J808" s="75">
        <v>0</v>
      </c>
      <c r="K808" s="75">
        <f t="shared" si="291"/>
        <v>65.25</v>
      </c>
      <c r="L808" s="76">
        <f t="shared" si="305"/>
        <v>4970.09</v>
      </c>
      <c r="M808" s="76">
        <f t="shared" si="306"/>
        <v>0</v>
      </c>
      <c r="N808" s="76">
        <f t="shared" si="307"/>
        <v>0</v>
      </c>
      <c r="O808" s="76">
        <f t="shared" si="308"/>
        <v>6341.65</v>
      </c>
      <c r="P808" s="90">
        <f t="shared" si="309"/>
        <v>0</v>
      </c>
      <c r="Q808" s="51"/>
      <c r="T808" s="53">
        <v>76.17</v>
      </c>
    </row>
    <row r="809" spans="1:20" s="56" customFormat="1" ht="36" x14ac:dyDescent="0.2">
      <c r="A809" s="94">
        <v>87878</v>
      </c>
      <c r="B809" s="87">
        <v>40570</v>
      </c>
      <c r="C809" s="74" t="s">
        <v>1251</v>
      </c>
      <c r="D809" s="73" t="s">
        <v>14</v>
      </c>
      <c r="E809" s="75">
        <v>1138.5</v>
      </c>
      <c r="F809" s="75">
        <f t="shared" si="302"/>
        <v>2.97</v>
      </c>
      <c r="G809" s="75">
        <f t="shared" si="303"/>
        <v>3.79</v>
      </c>
      <c r="H809" s="76">
        <f t="shared" si="304"/>
        <v>4314.92</v>
      </c>
      <c r="I809" s="75"/>
      <c r="J809" s="75">
        <v>1138.5</v>
      </c>
      <c r="K809" s="75">
        <f t="shared" si="291"/>
        <v>0</v>
      </c>
      <c r="L809" s="76">
        <f t="shared" si="305"/>
        <v>3381.35</v>
      </c>
      <c r="M809" s="76">
        <f t="shared" si="306"/>
        <v>0</v>
      </c>
      <c r="N809" s="76">
        <f t="shared" si="307"/>
        <v>4314.915</v>
      </c>
      <c r="O809" s="76">
        <f t="shared" si="308"/>
        <v>5.0000000001091394E-3</v>
      </c>
      <c r="P809" s="90">
        <f t="shared" si="309"/>
        <v>0.99999884122996485</v>
      </c>
      <c r="Q809" s="51"/>
      <c r="T809" s="53">
        <v>2.97</v>
      </c>
    </row>
    <row r="810" spans="1:20" s="56" customFormat="1" ht="12" x14ac:dyDescent="0.2">
      <c r="A810" s="73" t="s">
        <v>229</v>
      </c>
      <c r="B810" s="87">
        <v>40935</v>
      </c>
      <c r="C810" s="74" t="s">
        <v>1252</v>
      </c>
      <c r="D810" s="73" t="s">
        <v>14</v>
      </c>
      <c r="E810" s="75">
        <v>1138.5</v>
      </c>
      <c r="F810" s="75">
        <f t="shared" si="302"/>
        <v>21.63</v>
      </c>
      <c r="G810" s="75">
        <f t="shared" si="303"/>
        <v>27.6</v>
      </c>
      <c r="H810" s="76">
        <f t="shared" si="304"/>
        <v>31422.6</v>
      </c>
      <c r="I810" s="75"/>
      <c r="J810" s="75">
        <v>1138.5</v>
      </c>
      <c r="K810" s="75">
        <f t="shared" si="291"/>
        <v>0</v>
      </c>
      <c r="L810" s="76">
        <f t="shared" si="305"/>
        <v>24625.759999999998</v>
      </c>
      <c r="M810" s="76">
        <f t="shared" si="306"/>
        <v>0</v>
      </c>
      <c r="N810" s="76">
        <f t="shared" si="307"/>
        <v>31422.600000000002</v>
      </c>
      <c r="O810" s="76">
        <f t="shared" si="308"/>
        <v>0</v>
      </c>
      <c r="P810" s="90">
        <f t="shared" si="309"/>
        <v>1.0000000000000002</v>
      </c>
      <c r="Q810" s="51"/>
      <c r="T810" s="53">
        <v>21.63</v>
      </c>
    </row>
    <row r="811" spans="1:20" s="56" customFormat="1" ht="12" x14ac:dyDescent="0.2">
      <c r="A811" s="94">
        <v>88489</v>
      </c>
      <c r="B811" s="87">
        <v>41301</v>
      </c>
      <c r="C811" s="74" t="s">
        <v>1253</v>
      </c>
      <c r="D811" s="73" t="s">
        <v>14</v>
      </c>
      <c r="E811" s="75">
        <v>1269</v>
      </c>
      <c r="F811" s="75">
        <f t="shared" si="302"/>
        <v>8.41</v>
      </c>
      <c r="G811" s="75">
        <f t="shared" si="303"/>
        <v>10.73</v>
      </c>
      <c r="H811" s="76">
        <f t="shared" si="304"/>
        <v>13616.37</v>
      </c>
      <c r="I811" s="75"/>
      <c r="J811" s="75">
        <v>1269</v>
      </c>
      <c r="K811" s="75">
        <f t="shared" si="291"/>
        <v>0</v>
      </c>
      <c r="L811" s="76">
        <f t="shared" si="305"/>
        <v>10672.29</v>
      </c>
      <c r="M811" s="76">
        <f t="shared" si="306"/>
        <v>0</v>
      </c>
      <c r="N811" s="76">
        <f t="shared" si="307"/>
        <v>13616.37</v>
      </c>
      <c r="O811" s="76">
        <f t="shared" si="308"/>
        <v>0</v>
      </c>
      <c r="P811" s="90">
        <f t="shared" si="309"/>
        <v>1</v>
      </c>
      <c r="Q811" s="51"/>
      <c r="T811" s="53">
        <v>8.41</v>
      </c>
    </row>
    <row r="812" spans="1:20" s="56" customFormat="1" ht="12" x14ac:dyDescent="0.2">
      <c r="A812" s="72"/>
      <c r="B812" s="71"/>
      <c r="C812" s="71"/>
      <c r="D812" s="71"/>
      <c r="E812" s="71"/>
      <c r="F812" s="75"/>
      <c r="G812" s="77" t="s">
        <v>1269</v>
      </c>
      <c r="H812" s="78">
        <f>SUM(H799:H811)</f>
        <v>137571.40999999997</v>
      </c>
      <c r="I812" s="71"/>
      <c r="J812" s="75"/>
      <c r="K812" s="75"/>
      <c r="L812" s="78">
        <f>SUM(L799:L811)</f>
        <v>107814.78</v>
      </c>
      <c r="M812" s="78">
        <f>SUM(M799:M811)</f>
        <v>0</v>
      </c>
      <c r="N812" s="78">
        <f>SUM(N799:N811)</f>
        <v>131229.7475</v>
      </c>
      <c r="O812" s="78">
        <f>SUM(O799:O811)</f>
        <v>6341.6624999999976</v>
      </c>
      <c r="P812" s="91">
        <f t="shared" si="309"/>
        <v>0.9539027585746197</v>
      </c>
      <c r="Q812" s="60"/>
      <c r="T812" s="59"/>
    </row>
    <row r="813" spans="1:20" s="56" customFormat="1" ht="12" x14ac:dyDescent="0.2">
      <c r="A813" s="72"/>
      <c r="B813" s="70" t="s">
        <v>1255</v>
      </c>
      <c r="C813" s="71" t="s">
        <v>1270</v>
      </c>
      <c r="D813" s="72"/>
      <c r="E813" s="72"/>
      <c r="F813" s="75"/>
      <c r="G813" s="72"/>
      <c r="H813" s="72"/>
      <c r="I813" s="72"/>
      <c r="J813" s="75"/>
      <c r="K813" s="75"/>
      <c r="L813" s="72"/>
      <c r="M813" s="72"/>
      <c r="N813" s="72"/>
      <c r="O813" s="72"/>
      <c r="P813" s="72"/>
      <c r="Q813" s="52"/>
      <c r="T813" s="52"/>
    </row>
    <row r="814" spans="1:20" s="56" customFormat="1" ht="36" x14ac:dyDescent="0.2">
      <c r="A814" s="94">
        <v>97627</v>
      </c>
      <c r="B814" s="80">
        <v>46419</v>
      </c>
      <c r="C814" s="74" t="s">
        <v>1271</v>
      </c>
      <c r="D814" s="69" t="s">
        <v>171</v>
      </c>
      <c r="E814" s="75">
        <v>16.77</v>
      </c>
      <c r="F814" s="75">
        <f>ROUND(T814*$T$10,2)</f>
        <v>184.77</v>
      </c>
      <c r="G814" s="75">
        <f>ROUND(F814*(1+$U$1),2)</f>
        <v>235.75</v>
      </c>
      <c r="H814" s="76">
        <f>ROUND(E814*G814,2)</f>
        <v>3953.53</v>
      </c>
      <c r="I814" s="75"/>
      <c r="J814" s="75">
        <v>16.77</v>
      </c>
      <c r="K814" s="75">
        <f t="shared" si="291"/>
        <v>0</v>
      </c>
      <c r="L814" s="76">
        <f>ROUND(E814*F814,2)</f>
        <v>3098.59</v>
      </c>
      <c r="M814" s="76">
        <f>I814*G814</f>
        <v>0</v>
      </c>
      <c r="N814" s="76">
        <f>J814*G814</f>
        <v>3953.5274999999997</v>
      </c>
      <c r="O814" s="76">
        <f>H814-N814</f>
        <v>2.500000000509317E-3</v>
      </c>
      <c r="P814" s="90">
        <f>N814/H814</f>
        <v>0.99999936765371689</v>
      </c>
      <c r="Q814" s="51"/>
      <c r="T814" s="53">
        <v>184.77</v>
      </c>
    </row>
    <row r="815" spans="1:20" s="56" customFormat="1" ht="24" x14ac:dyDescent="0.2">
      <c r="A815" s="94">
        <v>72897</v>
      </c>
      <c r="B815" s="80">
        <v>46420</v>
      </c>
      <c r="C815" s="74" t="s">
        <v>1272</v>
      </c>
      <c r="D815" s="69" t="s">
        <v>171</v>
      </c>
      <c r="E815" s="75">
        <v>20.97</v>
      </c>
      <c r="F815" s="75">
        <f>ROUND(T815*$T$10,2)</f>
        <v>16.57</v>
      </c>
      <c r="G815" s="75">
        <f>ROUND(F815*(1+$U$1),2)</f>
        <v>21.14</v>
      </c>
      <c r="H815" s="76">
        <f>ROUND(E815*G815,2)</f>
        <v>443.31</v>
      </c>
      <c r="I815" s="75"/>
      <c r="J815" s="75">
        <v>20.97</v>
      </c>
      <c r="K815" s="75">
        <f t="shared" si="291"/>
        <v>0</v>
      </c>
      <c r="L815" s="76">
        <f>ROUND(E815*F815,2)</f>
        <v>347.47</v>
      </c>
      <c r="M815" s="76">
        <f>I815*G815</f>
        <v>0</v>
      </c>
      <c r="N815" s="76">
        <f>J815*G815</f>
        <v>443.30579999999998</v>
      </c>
      <c r="O815" s="76">
        <f>H815-N815</f>
        <v>4.2000000000257387E-3</v>
      </c>
      <c r="P815" s="90">
        <f>N815/H815</f>
        <v>0.9999905258171482</v>
      </c>
      <c r="Q815" s="51"/>
      <c r="T815" s="53">
        <v>16.57</v>
      </c>
    </row>
    <row r="816" spans="1:20" s="56" customFormat="1" ht="12" x14ac:dyDescent="0.2">
      <c r="A816" s="72"/>
      <c r="B816" s="71"/>
      <c r="C816" s="71"/>
      <c r="D816" s="71"/>
      <c r="E816" s="71"/>
      <c r="F816" s="71"/>
      <c r="G816" s="77" t="s">
        <v>1273</v>
      </c>
      <c r="H816" s="78">
        <f>SUM(H814:H815)</f>
        <v>4396.84</v>
      </c>
      <c r="I816" s="71"/>
      <c r="J816" s="75"/>
      <c r="K816" s="71"/>
      <c r="L816" s="78">
        <f>SUM(L814:L815)</f>
        <v>3446.0600000000004</v>
      </c>
      <c r="M816" s="78">
        <f>SUM(M814:M815)</f>
        <v>0</v>
      </c>
      <c r="N816" s="78">
        <f>SUM(N814:N815)</f>
        <v>4396.8332999999993</v>
      </c>
      <c r="O816" s="78">
        <f>SUM(O814:O815)</f>
        <v>6.7000000005350557E-3</v>
      </c>
      <c r="P816" s="91">
        <f>N816/H816</f>
        <v>0.99999847617834603</v>
      </c>
      <c r="Q816" s="60"/>
      <c r="T816" s="59"/>
    </row>
    <row r="817" spans="1:20" s="56" customFormat="1" ht="12" x14ac:dyDescent="0.2">
      <c r="A817" s="72"/>
      <c r="B817" s="69"/>
      <c r="C817" s="8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52"/>
      <c r="T817" s="52"/>
    </row>
    <row r="818" spans="1:20" s="56" customFormat="1" ht="12" x14ac:dyDescent="0.2">
      <c r="A818" s="72"/>
      <c r="B818" s="71"/>
      <c r="C818" s="71"/>
      <c r="D818" s="71"/>
      <c r="E818" s="71"/>
      <c r="F818" s="71"/>
      <c r="G818" s="77" t="s">
        <v>1402</v>
      </c>
      <c r="H818" s="78">
        <f>SUM(H816,H812,)</f>
        <v>141968.24999999997</v>
      </c>
      <c r="I818" s="71"/>
      <c r="J818" s="71"/>
      <c r="K818" s="71"/>
      <c r="L818" s="78">
        <f>SUM(L816,L812,)</f>
        <v>111260.84</v>
      </c>
      <c r="M818" s="78">
        <f>SUM(M816,M812,)</f>
        <v>0</v>
      </c>
      <c r="N818" s="78">
        <f>SUM(N816,N812,)</f>
        <v>135626.5808</v>
      </c>
      <c r="O818" s="78">
        <f>SUM(O816,O812,)</f>
        <v>6341.6691999999985</v>
      </c>
      <c r="P818" s="91">
        <f>N818/H818</f>
        <v>0.95533036999469967</v>
      </c>
      <c r="Q818" s="60"/>
      <c r="R818" s="58"/>
      <c r="T818" s="59"/>
    </row>
    <row r="819" spans="1:20" s="56" customFormat="1" ht="12" x14ac:dyDescent="0.2">
      <c r="A819" s="72"/>
      <c r="B819" s="71" t="s">
        <v>1261</v>
      </c>
      <c r="C819" s="71"/>
      <c r="D819" s="71"/>
      <c r="E819" s="71"/>
      <c r="F819" s="71"/>
      <c r="G819" s="77" t="s">
        <v>1281</v>
      </c>
      <c r="H819" s="78">
        <f>SUM(H818,H795,H791,H775,H737,H714,H634,H473,H387,H368,H341,H315,H310,H254,H188,H165,H150,H144,H135,H118,H113,H105,H101,H61,H51,H29,H17)</f>
        <v>1791994.5999999999</v>
      </c>
      <c r="I819" s="71"/>
      <c r="J819" s="71"/>
      <c r="K819" s="71"/>
      <c r="L819" s="78">
        <f>SUM(L818,L795,L791,L775,L737,L714,L634,L473,L387,L368,L341,L315,L310,L254,L188,L165,L150,L144,L135,L118,L113,L105,L101,L61,L51,L29,L17)</f>
        <v>1404497.93</v>
      </c>
      <c r="M819" s="78">
        <f>SUM(M818,M795,M791,M775,M737,M714,M634,M473,M387,M368,M341,M315,M310,M254,M188,M165,M150,M144,M135,M118,M113,M105,M101,M61,M51,M29,M17)</f>
        <v>56476.942799961194</v>
      </c>
      <c r="N819" s="78">
        <f>SUM(N818,N795,N791,N775,N737,N714,N634,N473,N387,N368,N341,N315,N310,N254,N188,N165,N150,N144,N135,N118,N113,N105,N101,N61,N51,N29,N17)</f>
        <v>1782823.8025</v>
      </c>
      <c r="O819" s="78">
        <f>SUM(O818,O795,O791,O775,O737,O714,O634,O473,O387,O368,O341,O315,O310,O254,O188,O165,O150,O144,O135,O118,O113,O105,O101,O61,O51,O29,O17)</f>
        <v>9170.7975000000024</v>
      </c>
      <c r="P819" s="91">
        <f>M819/H819</f>
        <v>3.1516246086880619E-2</v>
      </c>
      <c r="Q819" s="133">
        <f>N819/H819</f>
        <v>0.99488235204503417</v>
      </c>
      <c r="R819" s="58"/>
      <c r="T819" s="59"/>
    </row>
    <row r="820" spans="1:20" x14ac:dyDescent="0.2">
      <c r="J820" s="65"/>
    </row>
    <row r="823" spans="1:20" x14ac:dyDescent="0.2">
      <c r="A823" s="63" t="s">
        <v>1300</v>
      </c>
      <c r="D823" s="63" t="s">
        <v>1301</v>
      </c>
      <c r="H823" s="63" t="s">
        <v>1392</v>
      </c>
      <c r="M823" s="63" t="s">
        <v>1393</v>
      </c>
    </row>
    <row r="824" spans="1:20" x14ac:dyDescent="0.2">
      <c r="A824" s="63" t="s">
        <v>1303</v>
      </c>
      <c r="D824" s="63" t="s">
        <v>1395</v>
      </c>
      <c r="H824" s="63" t="s">
        <v>1394</v>
      </c>
      <c r="M824" s="63" t="s">
        <v>1306</v>
      </c>
    </row>
    <row r="825" spans="1:20" x14ac:dyDescent="0.2">
      <c r="A825" s="63" t="s">
        <v>1307</v>
      </c>
      <c r="D825" s="63" t="s">
        <v>1308</v>
      </c>
      <c r="H825" s="63" t="s">
        <v>1398</v>
      </c>
      <c r="M825" s="63" t="s">
        <v>1310</v>
      </c>
    </row>
    <row r="826" spans="1:20" x14ac:dyDescent="0.2">
      <c r="A826" s="63" t="s">
        <v>1311</v>
      </c>
      <c r="D826" s="63" t="s">
        <v>1312</v>
      </c>
      <c r="H826" s="63" t="s">
        <v>1309</v>
      </c>
      <c r="M826" s="63" t="s">
        <v>1313</v>
      </c>
    </row>
    <row r="827" spans="1:20" x14ac:dyDescent="0.2">
      <c r="M827" s="63" t="s">
        <v>1314</v>
      </c>
    </row>
  </sheetData>
  <mergeCells count="9">
    <mergeCell ref="D8:E8"/>
    <mergeCell ref="K8:P8"/>
    <mergeCell ref="D1:P5"/>
    <mergeCell ref="A6:C6"/>
    <mergeCell ref="D6:E6"/>
    <mergeCell ref="N6:P6"/>
    <mergeCell ref="A7:C7"/>
    <mergeCell ref="D7:E7"/>
    <mergeCell ref="N7:P7"/>
  </mergeCells>
  <printOptions horizontalCentered="1"/>
  <pageMargins left="0.31496062992125984" right="0.31496062992125984" top="0.39370078740157483" bottom="1.1417322834645669" header="0.31496062992125984" footer="0.31496062992125984"/>
  <pageSetup paperSize="9" scale="49" orientation="landscape" r:id="rId1"/>
  <headerFooter>
    <oddFooter>&amp;C&amp;G</oddFooter>
  </headerFooter>
  <rowBreaks count="4" manualBreakCount="4">
    <brk id="95" max="15" man="1"/>
    <brk id="664" max="15" man="1"/>
    <brk id="737" max="15" man="1"/>
    <brk id="789" max="1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Table 5</vt:lpstr>
      <vt:lpstr>Ribeirão</vt:lpstr>
      <vt:lpstr>Ribeirão med 01</vt:lpstr>
      <vt:lpstr>BM 12 RIBEIRÃO</vt:lpstr>
      <vt:lpstr>'BM 12 RIBEIRÃO'!Area_de_impressao</vt:lpstr>
      <vt:lpstr>Ribeirão!Area_de_impressao</vt:lpstr>
      <vt:lpstr>'Ribeirão med 01'!Area_de_impressao</vt:lpstr>
      <vt:lpstr>'BM 12 RIBEIRÃO'!Titulos_de_impressao</vt:lpstr>
      <vt:lpstr>Ribeirão!Titulos_de_impressao</vt:lpstr>
      <vt:lpstr>'Ribeirão med 01'!Titulos_de_impressao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BDI Aplicado .'. Creches.xls</dc:title>
  <dc:creator>claud</dc:creator>
  <cp:lastModifiedBy>cliente</cp:lastModifiedBy>
  <cp:lastPrinted>2020-03-25T17:26:46Z</cp:lastPrinted>
  <dcterms:created xsi:type="dcterms:W3CDTF">2019-01-14T20:14:33Z</dcterms:created>
  <dcterms:modified xsi:type="dcterms:W3CDTF">2020-06-04T16:54:55Z</dcterms:modified>
</cp:coreProperties>
</file>